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560" windowHeight="12855"/>
  </bookViews>
  <sheets>
    <sheet name="август" sheetId="1" r:id="rId1"/>
  </sheets>
  <definedNames>
    <definedName name="_xlnm.Print_Titles" localSheetId="0">август!$6:$7</definedName>
    <definedName name="_xlnm.Print_Area" localSheetId="0">август!$A$1:$CI$684</definedName>
  </definedNames>
  <calcPr calcId="124519"/>
</workbook>
</file>

<file path=xl/calcChain.xml><?xml version="1.0" encoding="utf-8"?>
<calcChain xmlns="http://schemas.openxmlformats.org/spreadsheetml/2006/main">
  <c r="Z683" i="1"/>
  <c r="Y683"/>
  <c r="X683"/>
  <c r="W683"/>
  <c r="V683"/>
  <c r="U683"/>
  <c r="V682"/>
  <c r="Z681"/>
  <c r="X681"/>
  <c r="V681"/>
  <c r="Z680"/>
  <c r="X680"/>
  <c r="V680"/>
  <c r="Z679"/>
  <c r="X679"/>
  <c r="V679"/>
  <c r="Z678"/>
  <c r="X678"/>
  <c r="V678"/>
  <c r="Z677"/>
  <c r="X677"/>
  <c r="V677"/>
  <c r="Z676"/>
  <c r="X676"/>
  <c r="V676"/>
  <c r="Z675"/>
  <c r="X675"/>
  <c r="V675"/>
  <c r="Z674"/>
  <c r="X674"/>
  <c r="V674"/>
  <c r="Z673"/>
  <c r="X673"/>
  <c r="V673"/>
  <c r="Z672"/>
  <c r="X672"/>
  <c r="V672"/>
  <c r="Z671"/>
  <c r="X671"/>
  <c r="V671"/>
  <c r="Z670"/>
  <c r="X670"/>
  <c r="V670"/>
  <c r="Z669"/>
  <c r="X669"/>
  <c r="V669"/>
  <c r="Z668"/>
  <c r="X668"/>
  <c r="V668"/>
  <c r="Z667"/>
  <c r="X667"/>
  <c r="V667"/>
  <c r="Z666"/>
  <c r="X666"/>
  <c r="V666"/>
  <c r="Z665"/>
  <c r="X665"/>
  <c r="V665"/>
  <c r="Z664"/>
  <c r="X664"/>
  <c r="V664"/>
  <c r="Z663"/>
  <c r="X663"/>
  <c r="V663"/>
  <c r="Z662"/>
  <c r="X662"/>
  <c r="V662"/>
  <c r="Z661"/>
  <c r="X661"/>
  <c r="V661"/>
  <c r="Z660"/>
  <c r="Y660"/>
  <c r="X660"/>
  <c r="W660"/>
  <c r="V660"/>
  <c r="U660"/>
  <c r="Z659"/>
  <c r="X659"/>
  <c r="V659"/>
  <c r="Z658"/>
  <c r="X658"/>
  <c r="V658"/>
  <c r="Z657"/>
  <c r="X657"/>
  <c r="V657"/>
  <c r="Z656"/>
  <c r="X656"/>
  <c r="V656"/>
  <c r="Z655"/>
  <c r="X655"/>
  <c r="V655"/>
  <c r="Z654"/>
  <c r="X654"/>
  <c r="V654"/>
  <c r="Z653"/>
  <c r="X653"/>
  <c r="V653"/>
  <c r="Z652"/>
  <c r="X652"/>
  <c r="V652"/>
  <c r="Z651"/>
  <c r="X651"/>
  <c r="V651"/>
  <c r="Z650"/>
  <c r="Y650"/>
  <c r="X650"/>
  <c r="W650"/>
  <c r="V650"/>
  <c r="U650"/>
  <c r="Z649"/>
  <c r="Y649"/>
  <c r="X649"/>
  <c r="W649"/>
  <c r="V649"/>
  <c r="U649"/>
  <c r="V648"/>
  <c r="Q648"/>
  <c r="R648" s="1"/>
  <c r="Z647"/>
  <c r="Y647"/>
  <c r="X647"/>
  <c r="W647"/>
  <c r="V647"/>
  <c r="U647"/>
  <c r="Q647"/>
  <c r="Q644" s="1"/>
  <c r="Y646"/>
  <c r="Z646" s="1"/>
  <c r="Z645" s="1"/>
  <c r="Z644" s="1"/>
  <c r="V646"/>
  <c r="V645" s="1"/>
  <c r="V644" s="1"/>
  <c r="V11" s="1"/>
  <c r="Q646"/>
  <c r="R646" s="1"/>
  <c r="Y645"/>
  <c r="X645"/>
  <c r="W645"/>
  <c r="U645"/>
  <c r="Q645"/>
  <c r="Y644"/>
  <c r="X644"/>
  <c r="W644"/>
  <c r="U644"/>
  <c r="V643"/>
  <c r="Z642"/>
  <c r="X642"/>
  <c r="V642"/>
  <c r="Q642"/>
  <c r="R642" s="1"/>
  <c r="Z641"/>
  <c r="X641"/>
  <c r="V641"/>
  <c r="R641"/>
  <c r="Q641"/>
  <c r="Z640"/>
  <c r="X640"/>
  <c r="V640"/>
  <c r="Q640"/>
  <c r="R640" s="1"/>
  <c r="Z639"/>
  <c r="X639"/>
  <c r="V639"/>
  <c r="Q639"/>
  <c r="R639" s="1"/>
  <c r="Z638"/>
  <c r="X638"/>
  <c r="V638"/>
  <c r="Q638"/>
  <c r="R638" s="1"/>
  <c r="Z637"/>
  <c r="X637"/>
  <c r="V637"/>
  <c r="R637"/>
  <c r="Q637"/>
  <c r="Z636"/>
  <c r="X636"/>
  <c r="V636"/>
  <c r="Q636"/>
  <c r="R636" s="1"/>
  <c r="Z635"/>
  <c r="Z633" s="1"/>
  <c r="Z632" s="1"/>
  <c r="Z631" s="1"/>
  <c r="X635"/>
  <c r="V635"/>
  <c r="V633" s="1"/>
  <c r="V632" s="1"/>
  <c r="V631" s="1"/>
  <c r="Q635"/>
  <c r="R635" s="1"/>
  <c r="Z634"/>
  <c r="X634"/>
  <c r="X633" s="1"/>
  <c r="X632" s="1"/>
  <c r="X631" s="1"/>
  <c r="V634"/>
  <c r="Q634"/>
  <c r="Q631" s="1"/>
  <c r="Y633"/>
  <c r="W633"/>
  <c r="U633"/>
  <c r="Y632"/>
  <c r="W632"/>
  <c r="W631" s="1"/>
  <c r="U632"/>
  <c r="J632"/>
  <c r="Y631"/>
  <c r="U631"/>
  <c r="T631"/>
  <c r="S631"/>
  <c r="O631"/>
  <c r="V630"/>
  <c r="V629" s="1"/>
  <c r="Z629"/>
  <c r="Y629"/>
  <c r="X629"/>
  <c r="W629"/>
  <c r="U629"/>
  <c r="Z628"/>
  <c r="X628"/>
  <c r="X626" s="1"/>
  <c r="X625" s="1"/>
  <c r="V628"/>
  <c r="Q628"/>
  <c r="S628" s="1"/>
  <c r="S625" s="1"/>
  <c r="Z626"/>
  <c r="Y626"/>
  <c r="Y625" s="1"/>
  <c r="W626"/>
  <c r="W625" s="1"/>
  <c r="V626"/>
  <c r="U626"/>
  <c r="U625" s="1"/>
  <c r="J626"/>
  <c r="Z625"/>
  <c r="Z623"/>
  <c r="Z622" s="1"/>
  <c r="X623"/>
  <c r="S623"/>
  <c r="R623"/>
  <c r="Q623"/>
  <c r="Y622"/>
  <c r="X622"/>
  <c r="W622"/>
  <c r="V622"/>
  <c r="U622"/>
  <c r="T622"/>
  <c r="S622"/>
  <c r="R622"/>
  <c r="Q622"/>
  <c r="P622"/>
  <c r="O622"/>
  <c r="K622"/>
  <c r="J622"/>
  <c r="V621"/>
  <c r="Z618"/>
  <c r="Y618"/>
  <c r="X618"/>
  <c r="W618"/>
  <c r="V618"/>
  <c r="U618"/>
  <c r="V617"/>
  <c r="S617"/>
  <c r="R617"/>
  <c r="Q617"/>
  <c r="V613"/>
  <c r="V612"/>
  <c r="Z611"/>
  <c r="Z610" s="1"/>
  <c r="Y611"/>
  <c r="X611"/>
  <c r="X610" s="1"/>
  <c r="X609" s="1"/>
  <c r="W611"/>
  <c r="V611"/>
  <c r="V610" s="1"/>
  <c r="V609" s="1"/>
  <c r="U611"/>
  <c r="N611"/>
  <c r="Y610"/>
  <c r="W610"/>
  <c r="W609" s="1"/>
  <c r="U610"/>
  <c r="T610"/>
  <c r="S610"/>
  <c r="R610"/>
  <c r="Q610"/>
  <c r="P610"/>
  <c r="O610"/>
  <c r="K610"/>
  <c r="J610"/>
  <c r="Y609"/>
  <c r="U609"/>
  <c r="Z608"/>
  <c r="X608"/>
  <c r="V608"/>
  <c r="Z607"/>
  <c r="X607"/>
  <c r="V607"/>
  <c r="Z606"/>
  <c r="X606"/>
  <c r="V606"/>
  <c r="Z605"/>
  <c r="X605"/>
  <c r="V605"/>
  <c r="Z604"/>
  <c r="X604"/>
  <c r="V604"/>
  <c r="Z603"/>
  <c r="X603"/>
  <c r="V603"/>
  <c r="Z602"/>
  <c r="X602"/>
  <c r="V602"/>
  <c r="Z601"/>
  <c r="X601"/>
  <c r="V601"/>
  <c r="Z600"/>
  <c r="X600"/>
  <c r="V600"/>
  <c r="Z599"/>
  <c r="X599"/>
  <c r="V599"/>
  <c r="Z598"/>
  <c r="X598"/>
  <c r="V598"/>
  <c r="Z597"/>
  <c r="X597"/>
  <c r="V597"/>
  <c r="Z596"/>
  <c r="X596"/>
  <c r="V596"/>
  <c r="Z595"/>
  <c r="X595"/>
  <c r="V595"/>
  <c r="Z594"/>
  <c r="X594"/>
  <c r="V594"/>
  <c r="Z593"/>
  <c r="X593"/>
  <c r="V593"/>
  <c r="Z592"/>
  <c r="X592"/>
  <c r="V592"/>
  <c r="Z591"/>
  <c r="X591"/>
  <c r="V591"/>
  <c r="Z590"/>
  <c r="X590"/>
  <c r="V590"/>
  <c r="Z589"/>
  <c r="X589"/>
  <c r="V589"/>
  <c r="Z588"/>
  <c r="X588"/>
  <c r="V588"/>
  <c r="Z587"/>
  <c r="X587"/>
  <c r="V587"/>
  <c r="Z586"/>
  <c r="X586"/>
  <c r="V586"/>
  <c r="Z585"/>
  <c r="X585"/>
  <c r="V585"/>
  <c r="Z584"/>
  <c r="X584"/>
  <c r="V584"/>
  <c r="Z583"/>
  <c r="X583"/>
  <c r="V583"/>
  <c r="J583"/>
  <c r="Z582"/>
  <c r="Y582"/>
  <c r="X582"/>
  <c r="W582"/>
  <c r="V582"/>
  <c r="U582"/>
  <c r="T582"/>
  <c r="S582"/>
  <c r="R582"/>
  <c r="Q582"/>
  <c r="P582"/>
  <c r="N582"/>
  <c r="K582"/>
  <c r="J582"/>
  <c r="V577"/>
  <c r="V576"/>
  <c r="V575"/>
  <c r="U575"/>
  <c r="Y574"/>
  <c r="Y573"/>
  <c r="S573"/>
  <c r="Y572"/>
  <c r="R572"/>
  <c r="Y571"/>
  <c r="Z571" s="1"/>
  <c r="X571"/>
  <c r="V571"/>
  <c r="P571"/>
  <c r="Y570"/>
  <c r="Z570" s="1"/>
  <c r="X570"/>
  <c r="V570"/>
  <c r="Y569"/>
  <c r="Z569" s="1"/>
  <c r="X569"/>
  <c r="V569"/>
  <c r="V564" s="1"/>
  <c r="Y568"/>
  <c r="Z568" s="1"/>
  <c r="X568"/>
  <c r="V568"/>
  <c r="Y567"/>
  <c r="Z567" s="1"/>
  <c r="X567"/>
  <c r="V567"/>
  <c r="Y566"/>
  <c r="Z566" s="1"/>
  <c r="X566"/>
  <c r="V566"/>
  <c r="Y565"/>
  <c r="Z565" s="1"/>
  <c r="X565"/>
  <c r="X564" s="1"/>
  <c r="V565"/>
  <c r="P565"/>
  <c r="W564"/>
  <c r="U564"/>
  <c r="T564"/>
  <c r="S564"/>
  <c r="R564"/>
  <c r="Q564"/>
  <c r="P564"/>
  <c r="N564"/>
  <c r="K564"/>
  <c r="J564"/>
  <c r="Y563"/>
  <c r="Z563" s="1"/>
  <c r="X563"/>
  <c r="V563"/>
  <c r="Y562"/>
  <c r="Z562" s="1"/>
  <c r="X562"/>
  <c r="V562"/>
  <c r="P562"/>
  <c r="P563" s="1"/>
  <c r="Z561"/>
  <c r="Y561"/>
  <c r="X561"/>
  <c r="V561"/>
  <c r="Y560"/>
  <c r="Z560" s="1"/>
  <c r="X560"/>
  <c r="V560"/>
  <c r="P560"/>
  <c r="P561" s="1"/>
  <c r="Y559"/>
  <c r="Z559" s="1"/>
  <c r="X559"/>
  <c r="V559"/>
  <c r="Y558"/>
  <c r="Z558" s="1"/>
  <c r="X558"/>
  <c r="V558"/>
  <c r="P558"/>
  <c r="P559" s="1"/>
  <c r="Y557"/>
  <c r="Z557" s="1"/>
  <c r="X557"/>
  <c r="V557"/>
  <c r="Y556"/>
  <c r="Z556" s="1"/>
  <c r="X556"/>
  <c r="V556"/>
  <c r="P556"/>
  <c r="P557" s="1"/>
  <c r="Y555"/>
  <c r="Z555" s="1"/>
  <c r="X555"/>
  <c r="V555"/>
  <c r="Y554"/>
  <c r="Z554" s="1"/>
  <c r="X554"/>
  <c r="V554"/>
  <c r="P554"/>
  <c r="P555" s="1"/>
  <c r="Y553"/>
  <c r="Z553" s="1"/>
  <c r="X553"/>
  <c r="V553"/>
  <c r="Y552"/>
  <c r="Z552" s="1"/>
  <c r="X552"/>
  <c r="V552"/>
  <c r="Y551"/>
  <c r="Z551" s="1"/>
  <c r="X551"/>
  <c r="V551"/>
  <c r="Y550"/>
  <c r="Z550" s="1"/>
  <c r="X550"/>
  <c r="V550"/>
  <c r="Y549"/>
  <c r="Z549" s="1"/>
  <c r="W549"/>
  <c r="X549" s="1"/>
  <c r="U549"/>
  <c r="V549" s="1"/>
  <c r="T549"/>
  <c r="S549"/>
  <c r="R549"/>
  <c r="Q549"/>
  <c r="O549"/>
  <c r="K549"/>
  <c r="J549"/>
  <c r="Y548"/>
  <c r="Z548" s="1"/>
  <c r="Z547" s="1"/>
  <c r="W548"/>
  <c r="X548" s="1"/>
  <c r="X547" s="1"/>
  <c r="U548"/>
  <c r="V548" s="1"/>
  <c r="V547" s="1"/>
  <c r="T548"/>
  <c r="S548"/>
  <c r="S547" s="1"/>
  <c r="R548"/>
  <c r="Q548"/>
  <c r="Q547" s="1"/>
  <c r="O548"/>
  <c r="N548"/>
  <c r="K548"/>
  <c r="J548"/>
  <c r="T547"/>
  <c r="R547"/>
  <c r="N547"/>
  <c r="J547"/>
  <c r="Y546"/>
  <c r="Z546" s="1"/>
  <c r="V546"/>
  <c r="Y545"/>
  <c r="Z545" s="1"/>
  <c r="X545"/>
  <c r="V545"/>
  <c r="Y544"/>
  <c r="Z544" s="1"/>
  <c r="X544"/>
  <c r="V544"/>
  <c r="O544"/>
  <c r="P544" s="1"/>
  <c r="Y543"/>
  <c r="Z543" s="1"/>
  <c r="X543"/>
  <c r="V543"/>
  <c r="Y542"/>
  <c r="Z542" s="1"/>
  <c r="X542"/>
  <c r="V542"/>
  <c r="P542"/>
  <c r="P543" s="1"/>
  <c r="Y541"/>
  <c r="Z541" s="1"/>
  <c r="X541"/>
  <c r="V541"/>
  <c r="Y540"/>
  <c r="Z540" s="1"/>
  <c r="X540"/>
  <c r="V540"/>
  <c r="P540"/>
  <c r="P541" s="1"/>
  <c r="Y539"/>
  <c r="Z539" s="1"/>
  <c r="X539"/>
  <c r="U539"/>
  <c r="V539" s="1"/>
  <c r="Y538"/>
  <c r="Z538" s="1"/>
  <c r="X538"/>
  <c r="V538"/>
  <c r="P538"/>
  <c r="P539" s="1"/>
  <c r="Y537"/>
  <c r="Z537" s="1"/>
  <c r="X537"/>
  <c r="V537"/>
  <c r="Y536"/>
  <c r="Z536" s="1"/>
  <c r="X536"/>
  <c r="V536"/>
  <c r="P536"/>
  <c r="P537" s="1"/>
  <c r="Y535"/>
  <c r="Z535" s="1"/>
  <c r="X535"/>
  <c r="V535"/>
  <c r="Y534"/>
  <c r="Z534" s="1"/>
  <c r="P534"/>
  <c r="P535" s="1"/>
  <c r="Y533"/>
  <c r="Z533" s="1"/>
  <c r="X533"/>
  <c r="V533"/>
  <c r="Y532"/>
  <c r="Z532" s="1"/>
  <c r="X532"/>
  <c r="V532"/>
  <c r="P532"/>
  <c r="P533" s="1"/>
  <c r="Z531"/>
  <c r="Y531"/>
  <c r="X531"/>
  <c r="U531"/>
  <c r="V531" s="1"/>
  <c r="S531"/>
  <c r="R531"/>
  <c r="Y530"/>
  <c r="Z530" s="1"/>
  <c r="X530"/>
  <c r="V530"/>
  <c r="U530"/>
  <c r="P530"/>
  <c r="P531" s="1"/>
  <c r="Y529"/>
  <c r="Z529" s="1"/>
  <c r="X529"/>
  <c r="V529"/>
  <c r="Y528"/>
  <c r="Z528" s="1"/>
  <c r="X528"/>
  <c r="V528"/>
  <c r="P528"/>
  <c r="P529" s="1"/>
  <c r="Z527"/>
  <c r="Y527"/>
  <c r="X527"/>
  <c r="V527"/>
  <c r="Z526"/>
  <c r="Y526"/>
  <c r="X526"/>
  <c r="V526"/>
  <c r="P526"/>
  <c r="P527" s="1"/>
  <c r="Y525"/>
  <c r="Z525" s="1"/>
  <c r="X525"/>
  <c r="U525"/>
  <c r="V525" s="1"/>
  <c r="Y524"/>
  <c r="Z524" s="1"/>
  <c r="X524"/>
  <c r="V524"/>
  <c r="P524"/>
  <c r="P525" s="1"/>
  <c r="Y523"/>
  <c r="Z523" s="1"/>
  <c r="X523"/>
  <c r="V523"/>
  <c r="Y522"/>
  <c r="Z522" s="1"/>
  <c r="X522"/>
  <c r="V522"/>
  <c r="P522"/>
  <c r="P523" s="1"/>
  <c r="Y521"/>
  <c r="Z521" s="1"/>
  <c r="X521"/>
  <c r="V521"/>
  <c r="Y520"/>
  <c r="Z520" s="1"/>
  <c r="X520"/>
  <c r="V520"/>
  <c r="P520"/>
  <c r="P521" s="1"/>
  <c r="Y519"/>
  <c r="Z519" s="1"/>
  <c r="X519"/>
  <c r="V519"/>
  <c r="Y518"/>
  <c r="Z518" s="1"/>
  <c r="X518"/>
  <c r="V518"/>
  <c r="P518"/>
  <c r="P519" s="1"/>
  <c r="Y517"/>
  <c r="Z517" s="1"/>
  <c r="X517"/>
  <c r="V517"/>
  <c r="Y516"/>
  <c r="Z516" s="1"/>
  <c r="X516"/>
  <c r="V516"/>
  <c r="P516"/>
  <c r="P517" s="1"/>
  <c r="Y515"/>
  <c r="Z515" s="1"/>
  <c r="X515"/>
  <c r="V515"/>
  <c r="Y514"/>
  <c r="Z514" s="1"/>
  <c r="X514"/>
  <c r="V514"/>
  <c r="P514"/>
  <c r="P515" s="1"/>
  <c r="Y513"/>
  <c r="Z513" s="1"/>
  <c r="X513"/>
  <c r="U513"/>
  <c r="V513" s="1"/>
  <c r="Y512"/>
  <c r="Z512" s="1"/>
  <c r="X512"/>
  <c r="U512"/>
  <c r="V512" s="1"/>
  <c r="P512"/>
  <c r="P513" s="1"/>
  <c r="Y511"/>
  <c r="Z511" s="1"/>
  <c r="X511"/>
  <c r="V511"/>
  <c r="U511"/>
  <c r="Z510"/>
  <c r="Y510"/>
  <c r="X510"/>
  <c r="V510"/>
  <c r="P510"/>
  <c r="P511" s="1"/>
  <c r="Y509"/>
  <c r="Z509" s="1"/>
  <c r="X509"/>
  <c r="V509"/>
  <c r="Y508"/>
  <c r="Z508" s="1"/>
  <c r="X508"/>
  <c r="V508"/>
  <c r="P508"/>
  <c r="P509" s="1"/>
  <c r="Z507"/>
  <c r="Y507"/>
  <c r="X507"/>
  <c r="V507"/>
  <c r="Z506"/>
  <c r="Y506"/>
  <c r="X506"/>
  <c r="V506"/>
  <c r="P506"/>
  <c r="P507" s="1"/>
  <c r="Y505"/>
  <c r="Z505" s="1"/>
  <c r="X505"/>
  <c r="V505"/>
  <c r="Y504"/>
  <c r="Z504" s="1"/>
  <c r="X504"/>
  <c r="V504"/>
  <c r="P504"/>
  <c r="P505" s="1"/>
  <c r="Z503"/>
  <c r="Y503"/>
  <c r="X503"/>
  <c r="V503"/>
  <c r="Z502"/>
  <c r="Y502"/>
  <c r="X502"/>
  <c r="V502"/>
  <c r="P502"/>
  <c r="P503" s="1"/>
  <c r="Y501"/>
  <c r="Z501" s="1"/>
  <c r="X501"/>
  <c r="V501"/>
  <c r="Y500"/>
  <c r="Z500" s="1"/>
  <c r="X500"/>
  <c r="V500"/>
  <c r="P500"/>
  <c r="P501" s="1"/>
  <c r="Z499"/>
  <c r="Y499"/>
  <c r="X499"/>
  <c r="U499"/>
  <c r="V499" s="1"/>
  <c r="Y498"/>
  <c r="Z498" s="1"/>
  <c r="X498"/>
  <c r="V498"/>
  <c r="U498"/>
  <c r="P498"/>
  <c r="P499" s="1"/>
  <c r="Y497"/>
  <c r="Z497" s="1"/>
  <c r="X497"/>
  <c r="V497"/>
  <c r="Y496"/>
  <c r="Z496" s="1"/>
  <c r="X496"/>
  <c r="V496"/>
  <c r="P496"/>
  <c r="P497" s="1"/>
  <c r="Z495"/>
  <c r="Y495"/>
  <c r="X495"/>
  <c r="V495"/>
  <c r="Z494"/>
  <c r="Y494"/>
  <c r="X494"/>
  <c r="V494"/>
  <c r="P494"/>
  <c r="P495" s="1"/>
  <c r="Y493"/>
  <c r="Z493" s="1"/>
  <c r="X493"/>
  <c r="V493"/>
  <c r="Y492"/>
  <c r="Z492" s="1"/>
  <c r="X492"/>
  <c r="V492"/>
  <c r="P492"/>
  <c r="P493" s="1"/>
  <c r="Z491"/>
  <c r="Y491"/>
  <c r="X491"/>
  <c r="V491"/>
  <c r="Z490"/>
  <c r="Y490"/>
  <c r="X490"/>
  <c r="V490"/>
  <c r="P490"/>
  <c r="P491" s="1"/>
  <c r="Y489"/>
  <c r="Z489" s="1"/>
  <c r="X489"/>
  <c r="V489"/>
  <c r="Y488"/>
  <c r="Z488" s="1"/>
  <c r="X488"/>
  <c r="V488"/>
  <c r="P488"/>
  <c r="P489" s="1"/>
  <c r="Z487"/>
  <c r="Y487"/>
  <c r="X487"/>
  <c r="V487"/>
  <c r="Z486"/>
  <c r="Y486"/>
  <c r="X486"/>
  <c r="V486"/>
  <c r="P486"/>
  <c r="P487" s="1"/>
  <c r="Y485"/>
  <c r="Z485" s="1"/>
  <c r="X485"/>
  <c r="U485"/>
  <c r="V485" s="1"/>
  <c r="Z484"/>
  <c r="Y484"/>
  <c r="X484"/>
  <c r="U484"/>
  <c r="P484"/>
  <c r="P485" s="1"/>
  <c r="Y483"/>
  <c r="Z483" s="1"/>
  <c r="X483"/>
  <c r="V483"/>
  <c r="Y482"/>
  <c r="Z482" s="1"/>
  <c r="X482"/>
  <c r="V482"/>
  <c r="P482"/>
  <c r="P483" s="1"/>
  <c r="Y481"/>
  <c r="Z481" s="1"/>
  <c r="X481"/>
  <c r="V481"/>
  <c r="Y480"/>
  <c r="Z480" s="1"/>
  <c r="X480"/>
  <c r="V480"/>
  <c r="P480"/>
  <c r="P481" s="1"/>
  <c r="Y479"/>
  <c r="Z479" s="1"/>
  <c r="X479"/>
  <c r="U479"/>
  <c r="V479" s="1"/>
  <c r="Y478"/>
  <c r="Z478" s="1"/>
  <c r="X478"/>
  <c r="U478"/>
  <c r="V478" s="1"/>
  <c r="P478"/>
  <c r="P479" s="1"/>
  <c r="Y477"/>
  <c r="Z477" s="1"/>
  <c r="X477"/>
  <c r="V477"/>
  <c r="U477"/>
  <c r="P477"/>
  <c r="Y476"/>
  <c r="Z476" s="1"/>
  <c r="Z474" s="1"/>
  <c r="X476"/>
  <c r="U476"/>
  <c r="P476"/>
  <c r="X475"/>
  <c r="W475"/>
  <c r="T475"/>
  <c r="S475"/>
  <c r="R475"/>
  <c r="Q475"/>
  <c r="K475"/>
  <c r="J475"/>
  <c r="Y474"/>
  <c r="W474"/>
  <c r="W473" s="1"/>
  <c r="U474"/>
  <c r="T474"/>
  <c r="S474"/>
  <c r="S473" s="1"/>
  <c r="S472" s="1"/>
  <c r="R474"/>
  <c r="Q474"/>
  <c r="Q473" s="1"/>
  <c r="Q472" s="1"/>
  <c r="K474"/>
  <c r="K473" s="1"/>
  <c r="K472" s="1"/>
  <c r="J474"/>
  <c r="T473"/>
  <c r="T472" s="1"/>
  <c r="R473"/>
  <c r="N473"/>
  <c r="J473"/>
  <c r="J472" s="1"/>
  <c r="R472"/>
  <c r="V471"/>
  <c r="O471"/>
  <c r="Z470"/>
  <c r="Z469" s="1"/>
  <c r="X470"/>
  <c r="V470"/>
  <c r="V469" s="1"/>
  <c r="Y469"/>
  <c r="X469"/>
  <c r="W469"/>
  <c r="U469"/>
  <c r="T469"/>
  <c r="S469"/>
  <c r="R469"/>
  <c r="Q469"/>
  <c r="P469"/>
  <c r="Y464"/>
  <c r="Z464" s="1"/>
  <c r="X464"/>
  <c r="V464"/>
  <c r="Q464"/>
  <c r="Z463"/>
  <c r="X463"/>
  <c r="V463"/>
  <c r="Z462"/>
  <c r="X462"/>
  <c r="V462"/>
  <c r="Z461"/>
  <c r="Y461"/>
  <c r="X461"/>
  <c r="V461"/>
  <c r="Z460"/>
  <c r="X460"/>
  <c r="V460"/>
  <c r="Z459"/>
  <c r="X459"/>
  <c r="V459"/>
  <c r="Z458"/>
  <c r="X458"/>
  <c r="V458"/>
  <c r="Z457"/>
  <c r="X457"/>
  <c r="V457"/>
  <c r="Z456"/>
  <c r="X456"/>
  <c r="V456"/>
  <c r="Z455"/>
  <c r="X455"/>
  <c r="V455"/>
  <c r="Z454"/>
  <c r="X454"/>
  <c r="V454"/>
  <c r="Y453"/>
  <c r="Z453" s="1"/>
  <c r="X453"/>
  <c r="V453"/>
  <c r="Z452"/>
  <c r="X452"/>
  <c r="V452"/>
  <c r="P452"/>
  <c r="Z451"/>
  <c r="X451"/>
  <c r="V451"/>
  <c r="P451"/>
  <c r="Z450"/>
  <c r="X450"/>
  <c r="V450"/>
  <c r="P450"/>
  <c r="Z449"/>
  <c r="X449"/>
  <c r="V449"/>
  <c r="P449"/>
  <c r="Z448"/>
  <c r="X448"/>
  <c r="V448"/>
  <c r="P448"/>
  <c r="Z447"/>
  <c r="X447"/>
  <c r="V447"/>
  <c r="P447"/>
  <c r="Z446"/>
  <c r="X446"/>
  <c r="V446"/>
  <c r="P446"/>
  <c r="Z445"/>
  <c r="X445"/>
  <c r="V445"/>
  <c r="P445"/>
  <c r="Z444"/>
  <c r="X444"/>
  <c r="V444"/>
  <c r="P444"/>
  <c r="Z443"/>
  <c r="X443"/>
  <c r="V443"/>
  <c r="P443"/>
  <c r="Z442"/>
  <c r="X442"/>
  <c r="V442"/>
  <c r="P442"/>
  <c r="Z441"/>
  <c r="X441"/>
  <c r="V441"/>
  <c r="P441"/>
  <c r="Z440"/>
  <c r="X440"/>
  <c r="V440"/>
  <c r="P440"/>
  <c r="Z439"/>
  <c r="X439"/>
  <c r="V439"/>
  <c r="P439"/>
  <c r="Z438"/>
  <c r="X438"/>
  <c r="V438"/>
  <c r="P438"/>
  <c r="Z437"/>
  <c r="X437"/>
  <c r="V437"/>
  <c r="P437"/>
  <c r="Z436"/>
  <c r="X436"/>
  <c r="V436"/>
  <c r="P436"/>
  <c r="Z435"/>
  <c r="X435"/>
  <c r="V435"/>
  <c r="P435"/>
  <c r="Z434"/>
  <c r="X434"/>
  <c r="V434"/>
  <c r="P434"/>
  <c r="Z433"/>
  <c r="X433"/>
  <c r="V433"/>
  <c r="P433"/>
  <c r="Z432"/>
  <c r="X432"/>
  <c r="V432"/>
  <c r="P432"/>
  <c r="Z431"/>
  <c r="X431"/>
  <c r="V431"/>
  <c r="P431"/>
  <c r="Z430"/>
  <c r="X430"/>
  <c r="V430"/>
  <c r="P430"/>
  <c r="Z429"/>
  <c r="X429"/>
  <c r="V429"/>
  <c r="P429"/>
  <c r="Z428"/>
  <c r="X428"/>
  <c r="V428"/>
  <c r="P428"/>
  <c r="Z427"/>
  <c r="X427"/>
  <c r="V427"/>
  <c r="P427"/>
  <c r="Z426"/>
  <c r="X426"/>
  <c r="V426"/>
  <c r="P426"/>
  <c r="Y425"/>
  <c r="Z425" s="1"/>
  <c r="X425"/>
  <c r="V425"/>
  <c r="P425"/>
  <c r="Z424"/>
  <c r="X424"/>
  <c r="V424"/>
  <c r="P424"/>
  <c r="Y423"/>
  <c r="Z423" s="1"/>
  <c r="X423"/>
  <c r="V423"/>
  <c r="S423"/>
  <c r="R423"/>
  <c r="Q423"/>
  <c r="P423"/>
  <c r="Y422"/>
  <c r="Z422" s="1"/>
  <c r="X422"/>
  <c r="V422"/>
  <c r="P422"/>
  <c r="Q422" s="1"/>
  <c r="Z421"/>
  <c r="X421"/>
  <c r="V421"/>
  <c r="O421"/>
  <c r="Z420"/>
  <c r="X420"/>
  <c r="V420"/>
  <c r="O420"/>
  <c r="Y419"/>
  <c r="Z419" s="1"/>
  <c r="X419"/>
  <c r="V419"/>
  <c r="Y418"/>
  <c r="Z418" s="1"/>
  <c r="X418"/>
  <c r="X417" s="1"/>
  <c r="V418"/>
  <c r="P418"/>
  <c r="P417" s="1"/>
  <c r="Y417"/>
  <c r="W417"/>
  <c r="U417"/>
  <c r="T417"/>
  <c r="K417"/>
  <c r="J417"/>
  <c r="Z416"/>
  <c r="X416"/>
  <c r="V416"/>
  <c r="S416"/>
  <c r="R416"/>
  <c r="Q416"/>
  <c r="Z415"/>
  <c r="Y415"/>
  <c r="X415"/>
  <c r="W415"/>
  <c r="V415"/>
  <c r="U415"/>
  <c r="T415"/>
  <c r="S415"/>
  <c r="R415"/>
  <c r="Q415"/>
  <c r="P415"/>
  <c r="K415"/>
  <c r="J415"/>
  <c r="V413"/>
  <c r="V412" s="1"/>
  <c r="V411" s="1"/>
  <c r="Z412"/>
  <c r="Z411" s="1"/>
  <c r="Y412"/>
  <c r="X412"/>
  <c r="X411" s="1"/>
  <c r="W412"/>
  <c r="U412"/>
  <c r="U411" s="1"/>
  <c r="Y411"/>
  <c r="W411"/>
  <c r="Z409"/>
  <c r="Y409"/>
  <c r="X409"/>
  <c r="W409"/>
  <c r="V409"/>
  <c r="U409"/>
  <c r="Z408"/>
  <c r="X408"/>
  <c r="V408"/>
  <c r="T408"/>
  <c r="S408"/>
  <c r="R408"/>
  <c r="Q408"/>
  <c r="Z407"/>
  <c r="X407"/>
  <c r="X405" s="1"/>
  <c r="X375" s="1"/>
  <c r="X374" s="1"/>
  <c r="V407"/>
  <c r="Z406"/>
  <c r="Z405" s="1"/>
  <c r="Z375" s="1"/>
  <c r="Z374" s="1"/>
  <c r="X406"/>
  <c r="V406"/>
  <c r="V405" s="1"/>
  <c r="Y405"/>
  <c r="W405"/>
  <c r="U405"/>
  <c r="V404"/>
  <c r="V403"/>
  <c r="V402"/>
  <c r="V401"/>
  <c r="V400"/>
  <c r="V399"/>
  <c r="V398"/>
  <c r="V397"/>
  <c r="R397"/>
  <c r="S397" s="1"/>
  <c r="V396"/>
  <c r="V395"/>
  <c r="V394"/>
  <c r="V393"/>
  <c r="V392"/>
  <c r="V391"/>
  <c r="V390"/>
  <c r="V389"/>
  <c r="V388"/>
  <c r="V387"/>
  <c r="Q387"/>
  <c r="V386"/>
  <c r="V385"/>
  <c r="V384"/>
  <c r="Q384"/>
  <c r="V383"/>
  <c r="Q383"/>
  <c r="V382"/>
  <c r="Q382"/>
  <c r="V381"/>
  <c r="Q381"/>
  <c r="V380"/>
  <c r="Q380"/>
  <c r="V379"/>
  <c r="V378"/>
  <c r="Q378"/>
  <c r="V377"/>
  <c r="Q377"/>
  <c r="Q376" s="1"/>
  <c r="Q375" s="1"/>
  <c r="Q374" s="1"/>
  <c r="V376"/>
  <c r="R376"/>
  <c r="R375" s="1"/>
  <c r="R374" s="1"/>
  <c r="O376"/>
  <c r="Y375"/>
  <c r="Y374" s="1"/>
  <c r="W375"/>
  <c r="U375"/>
  <c r="U374" s="1"/>
  <c r="W374"/>
  <c r="Z371"/>
  <c r="Y371"/>
  <c r="X371"/>
  <c r="W371"/>
  <c r="V371"/>
  <c r="U371"/>
  <c r="Z370"/>
  <c r="Y370"/>
  <c r="X370"/>
  <c r="W370"/>
  <c r="V370"/>
  <c r="U370"/>
  <c r="V369"/>
  <c r="V368"/>
  <c r="V367"/>
  <c r="V366"/>
  <c r="V365"/>
  <c r="V364"/>
  <c r="V363"/>
  <c r="V362"/>
  <c r="V361"/>
  <c r="V360"/>
  <c r="Z359"/>
  <c r="Y359"/>
  <c r="X359"/>
  <c r="W359"/>
  <c r="U359"/>
  <c r="Z358"/>
  <c r="V358"/>
  <c r="Z357"/>
  <c r="X357"/>
  <c r="V357"/>
  <c r="Z356"/>
  <c r="X356"/>
  <c r="V356"/>
  <c r="Z355"/>
  <c r="X355"/>
  <c r="V355"/>
  <c r="Q355"/>
  <c r="Z354"/>
  <c r="X354"/>
  <c r="V354"/>
  <c r="P354"/>
  <c r="Z353"/>
  <c r="X353"/>
  <c r="V353"/>
  <c r="Z352"/>
  <c r="X352"/>
  <c r="V352"/>
  <c r="Z351"/>
  <c r="X351"/>
  <c r="V351"/>
  <c r="Z350"/>
  <c r="X350"/>
  <c r="V350"/>
  <c r="Z349"/>
  <c r="X349"/>
  <c r="V349"/>
  <c r="Q349"/>
  <c r="Z348"/>
  <c r="X348"/>
  <c r="V348"/>
  <c r="Z347"/>
  <c r="X347"/>
  <c r="V347"/>
  <c r="Z346"/>
  <c r="X346"/>
  <c r="V346"/>
  <c r="Z345"/>
  <c r="X345"/>
  <c r="V345"/>
  <c r="Z344"/>
  <c r="X344"/>
  <c r="U344"/>
  <c r="V344" s="1"/>
  <c r="Z343"/>
  <c r="X343"/>
  <c r="V343"/>
  <c r="Z342"/>
  <c r="X342"/>
  <c r="U342"/>
  <c r="V342" s="1"/>
  <c r="Z341"/>
  <c r="X341"/>
  <c r="V341"/>
  <c r="Z340"/>
  <c r="X340"/>
  <c r="U340"/>
  <c r="V340" s="1"/>
  <c r="Z339"/>
  <c r="X339"/>
  <c r="V339"/>
  <c r="Z338"/>
  <c r="X338"/>
  <c r="V338"/>
  <c r="Q338"/>
  <c r="Z337"/>
  <c r="X337"/>
  <c r="V337"/>
  <c r="Z336"/>
  <c r="X336"/>
  <c r="V336"/>
  <c r="Q336"/>
  <c r="Z335"/>
  <c r="X335"/>
  <c r="V335"/>
  <c r="Q335"/>
  <c r="Z334"/>
  <c r="X334"/>
  <c r="V334"/>
  <c r="Z333"/>
  <c r="X333"/>
  <c r="V333"/>
  <c r="Z332"/>
  <c r="X332"/>
  <c r="V332"/>
  <c r="Z331"/>
  <c r="X331"/>
  <c r="V331"/>
  <c r="Z330"/>
  <c r="X330"/>
  <c r="V330"/>
  <c r="Z329"/>
  <c r="Z328" s="1"/>
  <c r="X329"/>
  <c r="V329"/>
  <c r="R329"/>
  <c r="P329"/>
  <c r="Y328"/>
  <c r="W328"/>
  <c r="U328"/>
  <c r="T328"/>
  <c r="S328"/>
  <c r="R328"/>
  <c r="Q328"/>
  <c r="O328"/>
  <c r="K328"/>
  <c r="J328"/>
  <c r="Y327"/>
  <c r="Z327" s="1"/>
  <c r="Z325" s="1"/>
  <c r="V327"/>
  <c r="V326"/>
  <c r="Y325"/>
  <c r="X325"/>
  <c r="W325"/>
  <c r="V325"/>
  <c r="U325"/>
  <c r="R324"/>
  <c r="Q324"/>
  <c r="Z323"/>
  <c r="Y323"/>
  <c r="X323"/>
  <c r="W323"/>
  <c r="V323"/>
  <c r="U323"/>
  <c r="T323"/>
  <c r="S323"/>
  <c r="R323"/>
  <c r="Q323"/>
  <c r="R322"/>
  <c r="Q322"/>
  <c r="Z321"/>
  <c r="Y321"/>
  <c r="X321"/>
  <c r="W321"/>
  <c r="V321"/>
  <c r="U321"/>
  <c r="T321"/>
  <c r="S321"/>
  <c r="R321"/>
  <c r="Q321"/>
  <c r="Z319"/>
  <c r="Y319"/>
  <c r="X319"/>
  <c r="W319"/>
  <c r="V319"/>
  <c r="U319"/>
  <c r="Z318"/>
  <c r="Y318"/>
  <c r="X318"/>
  <c r="W318"/>
  <c r="V318"/>
  <c r="U318"/>
  <c r="Y317"/>
  <c r="W317"/>
  <c r="U317"/>
  <c r="T317"/>
  <c r="S317"/>
  <c r="R317"/>
  <c r="Q317"/>
  <c r="Z316"/>
  <c r="X316"/>
  <c r="V316"/>
  <c r="Z315"/>
  <c r="X315"/>
  <c r="V315"/>
  <c r="Z314"/>
  <c r="Y314"/>
  <c r="X314"/>
  <c r="W314"/>
  <c r="V314"/>
  <c r="U314"/>
  <c r="Z313"/>
  <c r="X313"/>
  <c r="Z312"/>
  <c r="Z311" s="1"/>
  <c r="X312"/>
  <c r="V312"/>
  <c r="V311" s="1"/>
  <c r="Y311"/>
  <c r="X311"/>
  <c r="W311"/>
  <c r="U311"/>
  <c r="X310"/>
  <c r="V310"/>
  <c r="V309" s="1"/>
  <c r="Z309"/>
  <c r="Y309"/>
  <c r="X309"/>
  <c r="W309"/>
  <c r="U309"/>
  <c r="Z308"/>
  <c r="X308"/>
  <c r="X307" s="1"/>
  <c r="X306" s="1"/>
  <c r="Z307"/>
  <c r="Y307"/>
  <c r="W307"/>
  <c r="V307"/>
  <c r="U307"/>
  <c r="Y306"/>
  <c r="W306"/>
  <c r="U306"/>
  <c r="Z304"/>
  <c r="Y304"/>
  <c r="X304"/>
  <c r="W304"/>
  <c r="V304"/>
  <c r="U304"/>
  <c r="V303"/>
  <c r="Z300"/>
  <c r="Y300"/>
  <c r="X300"/>
  <c r="W300"/>
  <c r="V300"/>
  <c r="U300"/>
  <c r="V299"/>
  <c r="V298"/>
  <c r="V297"/>
  <c r="V296" s="1"/>
  <c r="Z296"/>
  <c r="Y296"/>
  <c r="X296"/>
  <c r="W296"/>
  <c r="U296"/>
  <c r="Y295"/>
  <c r="Z295" s="1"/>
  <c r="Z294" s="1"/>
  <c r="X295"/>
  <c r="V295"/>
  <c r="V294" s="1"/>
  <c r="X294"/>
  <c r="W294"/>
  <c r="U294"/>
  <c r="Z293"/>
  <c r="X293"/>
  <c r="V293"/>
  <c r="Z292"/>
  <c r="X292"/>
  <c r="V292"/>
  <c r="Z291"/>
  <c r="X291"/>
  <c r="V291"/>
  <c r="Z290"/>
  <c r="Y290"/>
  <c r="X290"/>
  <c r="W290"/>
  <c r="V290"/>
  <c r="U290"/>
  <c r="Z289"/>
  <c r="Y289"/>
  <c r="X289"/>
  <c r="W289"/>
  <c r="V289"/>
  <c r="U289"/>
  <c r="T289"/>
  <c r="S289"/>
  <c r="R289"/>
  <c r="Q289"/>
  <c r="K289"/>
  <c r="J289"/>
  <c r="Z288"/>
  <c r="X288"/>
  <c r="V288"/>
  <c r="Z287"/>
  <c r="X287"/>
  <c r="V287"/>
  <c r="Z286"/>
  <c r="Y286"/>
  <c r="X286"/>
  <c r="W286"/>
  <c r="V286"/>
  <c r="U286"/>
  <c r="P286"/>
  <c r="O286"/>
  <c r="Z285"/>
  <c r="Y285"/>
  <c r="X285"/>
  <c r="W285"/>
  <c r="V285"/>
  <c r="U285"/>
  <c r="T285"/>
  <c r="S285"/>
  <c r="R285"/>
  <c r="Q285"/>
  <c r="Z284"/>
  <c r="X284"/>
  <c r="V284"/>
  <c r="Z283"/>
  <c r="X283"/>
  <c r="V283"/>
  <c r="Z282"/>
  <c r="Z278" s="1"/>
  <c r="X282"/>
  <c r="V282"/>
  <c r="V278" s="1"/>
  <c r="Z281"/>
  <c r="X281"/>
  <c r="V281"/>
  <c r="S281"/>
  <c r="Z280"/>
  <c r="X280"/>
  <c r="V280"/>
  <c r="S280"/>
  <c r="Z279"/>
  <c r="X279"/>
  <c r="X278" s="1"/>
  <c r="V279"/>
  <c r="S279"/>
  <c r="Y278"/>
  <c r="W278"/>
  <c r="U278"/>
  <c r="T278"/>
  <c r="S278"/>
  <c r="R278"/>
  <c r="Q278"/>
  <c r="K278"/>
  <c r="J278"/>
  <c r="Z277"/>
  <c r="Z276" s="1"/>
  <c r="X277"/>
  <c r="X276" s="1"/>
  <c r="V277"/>
  <c r="T277"/>
  <c r="T276" s="1"/>
  <c r="S277"/>
  <c r="R277"/>
  <c r="R276" s="1"/>
  <c r="O277"/>
  <c r="Q277" s="1"/>
  <c r="Q276" s="1"/>
  <c r="Y276"/>
  <c r="W276"/>
  <c r="V276"/>
  <c r="U276"/>
  <c r="S276"/>
  <c r="J276"/>
  <c r="Z275"/>
  <c r="X275"/>
  <c r="V275"/>
  <c r="Q275"/>
  <c r="Z274"/>
  <c r="X274"/>
  <c r="V274"/>
  <c r="Q274"/>
  <c r="Z273"/>
  <c r="X273"/>
  <c r="V273"/>
  <c r="Q273"/>
  <c r="Z272"/>
  <c r="Y272"/>
  <c r="X272"/>
  <c r="W272"/>
  <c r="V272"/>
  <c r="U272"/>
  <c r="T272"/>
  <c r="S272"/>
  <c r="R272"/>
  <c r="Q272"/>
  <c r="Z271"/>
  <c r="X271"/>
  <c r="V271"/>
  <c r="S271"/>
  <c r="Z270"/>
  <c r="X270"/>
  <c r="V270"/>
  <c r="S270"/>
  <c r="Z269"/>
  <c r="X269"/>
  <c r="V269"/>
  <c r="S269"/>
  <c r="Z268"/>
  <c r="X268"/>
  <c r="V268"/>
  <c r="S268"/>
  <c r="Z267"/>
  <c r="X267"/>
  <c r="V267"/>
  <c r="S267"/>
  <c r="Z266"/>
  <c r="X266"/>
  <c r="V266"/>
  <c r="S266"/>
  <c r="Z265"/>
  <c r="X265"/>
  <c r="V265"/>
  <c r="S265"/>
  <c r="Z264"/>
  <c r="X264"/>
  <c r="V264"/>
  <c r="S264"/>
  <c r="Z263"/>
  <c r="X263"/>
  <c r="V263"/>
  <c r="S263"/>
  <c r="Z262"/>
  <c r="X262"/>
  <c r="V262"/>
  <c r="S262"/>
  <c r="Z261"/>
  <c r="X261"/>
  <c r="V261"/>
  <c r="S261"/>
  <c r="Z260"/>
  <c r="X260"/>
  <c r="V260"/>
  <c r="S260"/>
  <c r="Z259"/>
  <c r="X259"/>
  <c r="V259"/>
  <c r="Z258"/>
  <c r="X258"/>
  <c r="V258"/>
  <c r="S258"/>
  <c r="Z257"/>
  <c r="X257"/>
  <c r="V257"/>
  <c r="S257"/>
  <c r="Z256"/>
  <c r="X256"/>
  <c r="V256"/>
  <c r="S256"/>
  <c r="Z255"/>
  <c r="X255"/>
  <c r="V255"/>
  <c r="S255"/>
  <c r="Z254"/>
  <c r="X254"/>
  <c r="V254"/>
  <c r="R254"/>
  <c r="Q254"/>
  <c r="Z253"/>
  <c r="X253"/>
  <c r="V253"/>
  <c r="R253"/>
  <c r="Q253"/>
  <c r="Z252"/>
  <c r="X252"/>
  <c r="V252"/>
  <c r="R252"/>
  <c r="Q252"/>
  <c r="Z251"/>
  <c r="X251"/>
  <c r="V251"/>
  <c r="R251"/>
  <c r="Q251"/>
  <c r="Z250"/>
  <c r="X250"/>
  <c r="V250"/>
  <c r="R250"/>
  <c r="Q250"/>
  <c r="Z249"/>
  <c r="X249"/>
  <c r="V249"/>
  <c r="R249"/>
  <c r="Q249"/>
  <c r="Z248"/>
  <c r="X248"/>
  <c r="V248"/>
  <c r="R248"/>
  <c r="Q248"/>
  <c r="Z247"/>
  <c r="X247"/>
  <c r="V247"/>
  <c r="R247"/>
  <c r="Q247"/>
  <c r="Z246"/>
  <c r="X246"/>
  <c r="V246"/>
  <c r="R246"/>
  <c r="Q246"/>
  <c r="Z245"/>
  <c r="X245"/>
  <c r="V245"/>
  <c r="R245"/>
  <c r="Q245"/>
  <c r="Z244"/>
  <c r="X244"/>
  <c r="V244"/>
  <c r="R244"/>
  <c r="Q244"/>
  <c r="Z243"/>
  <c r="X243"/>
  <c r="V243"/>
  <c r="R243"/>
  <c r="Q243"/>
  <c r="Z242"/>
  <c r="X242"/>
  <c r="V242"/>
  <c r="R242"/>
  <c r="Q242"/>
  <c r="Z241"/>
  <c r="X241"/>
  <c r="V241"/>
  <c r="R241"/>
  <c r="Q241"/>
  <c r="Z240"/>
  <c r="X240"/>
  <c r="V240"/>
  <c r="R240"/>
  <c r="Q240"/>
  <c r="Z239"/>
  <c r="X239"/>
  <c r="V239"/>
  <c r="R239"/>
  <c r="Q239"/>
  <c r="Z238"/>
  <c r="X238"/>
  <c r="V238"/>
  <c r="R238"/>
  <c r="Q238"/>
  <c r="Z237"/>
  <c r="X237"/>
  <c r="V237"/>
  <c r="R237"/>
  <c r="Q237"/>
  <c r="Z236"/>
  <c r="X236"/>
  <c r="V236"/>
  <c r="R236"/>
  <c r="Q236"/>
  <c r="Z235"/>
  <c r="X235"/>
  <c r="V235"/>
  <c r="R235"/>
  <c r="Q235"/>
  <c r="Z234"/>
  <c r="X234"/>
  <c r="V234"/>
  <c r="R234"/>
  <c r="Q234"/>
  <c r="Z233"/>
  <c r="Z230" s="1"/>
  <c r="X233"/>
  <c r="V233"/>
  <c r="V230" s="1"/>
  <c r="R233"/>
  <c r="Q233"/>
  <c r="Z232"/>
  <c r="X232"/>
  <c r="V232"/>
  <c r="Q232"/>
  <c r="Z231"/>
  <c r="X231"/>
  <c r="X230" s="1"/>
  <c r="V231"/>
  <c r="R231"/>
  <c r="R230" s="1"/>
  <c r="Y230"/>
  <c r="W230"/>
  <c r="U230"/>
  <c r="T230"/>
  <c r="S230"/>
  <c r="Q230"/>
  <c r="O230"/>
  <c r="Z229"/>
  <c r="X229"/>
  <c r="V229"/>
  <c r="T229"/>
  <c r="Z228"/>
  <c r="X228"/>
  <c r="V228"/>
  <c r="S228"/>
  <c r="Z227"/>
  <c r="X227"/>
  <c r="V227"/>
  <c r="S227"/>
  <c r="Z226"/>
  <c r="X226"/>
  <c r="V226"/>
  <c r="S226"/>
  <c r="Z225"/>
  <c r="X225"/>
  <c r="V225"/>
  <c r="S225"/>
  <c r="Z224"/>
  <c r="X224"/>
  <c r="V224"/>
  <c r="Q224"/>
  <c r="Z223"/>
  <c r="X223"/>
  <c r="X222" s="1"/>
  <c r="V223"/>
  <c r="V222" s="1"/>
  <c r="Q223"/>
  <c r="Z222"/>
  <c r="Y222"/>
  <c r="W222"/>
  <c r="U222"/>
  <c r="T222"/>
  <c r="S222"/>
  <c r="R222"/>
  <c r="Q222"/>
  <c r="Z221"/>
  <c r="Z220"/>
  <c r="Z219" s="1"/>
  <c r="Z190" s="1"/>
  <c r="Y219"/>
  <c r="X218"/>
  <c r="X217" s="1"/>
  <c r="W217"/>
  <c r="O217"/>
  <c r="X216"/>
  <c r="X215"/>
  <c r="X214"/>
  <c r="X213"/>
  <c r="X212"/>
  <c r="X211" s="1"/>
  <c r="W211"/>
  <c r="O211"/>
  <c r="X210"/>
  <c r="X209"/>
  <c r="X208"/>
  <c r="X206" s="1"/>
  <c r="X207"/>
  <c r="Y206"/>
  <c r="W206"/>
  <c r="O206"/>
  <c r="X205"/>
  <c r="X204"/>
  <c r="X203"/>
  <c r="Y202"/>
  <c r="W202"/>
  <c r="W201" s="1"/>
  <c r="W190" s="1"/>
  <c r="O202"/>
  <c r="V200"/>
  <c r="Q200"/>
  <c r="R200" s="1"/>
  <c r="V199"/>
  <c r="V198" s="1"/>
  <c r="Q199"/>
  <c r="R199" s="1"/>
  <c r="Z198"/>
  <c r="Y198"/>
  <c r="X198"/>
  <c r="W198"/>
  <c r="U198"/>
  <c r="T198"/>
  <c r="S198"/>
  <c r="O198"/>
  <c r="V197"/>
  <c r="R197"/>
  <c r="Q197"/>
  <c r="Z196"/>
  <c r="Y196"/>
  <c r="X196"/>
  <c r="W196"/>
  <c r="V196"/>
  <c r="U196"/>
  <c r="T196"/>
  <c r="S196"/>
  <c r="R196"/>
  <c r="Q196"/>
  <c r="O196"/>
  <c r="V195"/>
  <c r="Q195"/>
  <c r="R195" s="1"/>
  <c r="R194" s="1"/>
  <c r="Z194"/>
  <c r="Y194"/>
  <c r="X194"/>
  <c r="W194"/>
  <c r="V194"/>
  <c r="U194"/>
  <c r="T194"/>
  <c r="S194"/>
  <c r="O194"/>
  <c r="V193"/>
  <c r="R193"/>
  <c r="Q193"/>
  <c r="Z192"/>
  <c r="Z191" s="1"/>
  <c r="Y192"/>
  <c r="X192"/>
  <c r="X191" s="1"/>
  <c r="W192"/>
  <c r="V192"/>
  <c r="V191" s="1"/>
  <c r="V190" s="1"/>
  <c r="U192"/>
  <c r="T192"/>
  <c r="S192"/>
  <c r="R192"/>
  <c r="Q192"/>
  <c r="O192"/>
  <c r="Y191"/>
  <c r="W191"/>
  <c r="U191"/>
  <c r="U190" s="1"/>
  <c r="U182" s="1"/>
  <c r="O191"/>
  <c r="O190" s="1"/>
  <c r="Y190"/>
  <c r="T190"/>
  <c r="T182" s="1"/>
  <c r="S190"/>
  <c r="K190"/>
  <c r="J190"/>
  <c r="Y189"/>
  <c r="Z189" s="1"/>
  <c r="W189"/>
  <c r="X189" s="1"/>
  <c r="V189"/>
  <c r="Y188"/>
  <c r="Z188" s="1"/>
  <c r="W188"/>
  <c r="X188" s="1"/>
  <c r="V188"/>
  <c r="Y187"/>
  <c r="Z187" s="1"/>
  <c r="W187"/>
  <c r="X187" s="1"/>
  <c r="V187"/>
  <c r="Y186"/>
  <c r="Z186" s="1"/>
  <c r="W186"/>
  <c r="X186" s="1"/>
  <c r="V186"/>
  <c r="Y185"/>
  <c r="Z185" s="1"/>
  <c r="W185"/>
  <c r="X185" s="1"/>
  <c r="V185"/>
  <c r="Y184"/>
  <c r="Z184" s="1"/>
  <c r="W184"/>
  <c r="X184" s="1"/>
  <c r="V184"/>
  <c r="Y183"/>
  <c r="Y182" s="1"/>
  <c r="U183"/>
  <c r="T183"/>
  <c r="S183"/>
  <c r="R183"/>
  <c r="Q183"/>
  <c r="P183"/>
  <c r="O183"/>
  <c r="S182"/>
  <c r="K182"/>
  <c r="J182"/>
  <c r="V181"/>
  <c r="V180"/>
  <c r="T180"/>
  <c r="S180"/>
  <c r="R180"/>
  <c r="Q180"/>
  <c r="O180"/>
  <c r="Q179"/>
  <c r="V178"/>
  <c r="Q178"/>
  <c r="V177"/>
  <c r="Q177"/>
  <c r="V176"/>
  <c r="Q176"/>
  <c r="V175"/>
  <c r="Q175"/>
  <c r="V174"/>
  <c r="Q174"/>
  <c r="V173"/>
  <c r="V163" s="1"/>
  <c r="V161" s="1"/>
  <c r="Q173"/>
  <c r="Q172"/>
  <c r="V171"/>
  <c r="Q171"/>
  <c r="V170"/>
  <c r="Q170"/>
  <c r="V169"/>
  <c r="Q169"/>
  <c r="V168"/>
  <c r="Q168"/>
  <c r="V167"/>
  <c r="Q167"/>
  <c r="V166"/>
  <c r="Q166"/>
  <c r="V165"/>
  <c r="Q165"/>
  <c r="V164"/>
  <c r="Q164"/>
  <c r="Z163"/>
  <c r="Y163"/>
  <c r="X163"/>
  <c r="W163"/>
  <c r="W161" s="1"/>
  <c r="U163"/>
  <c r="U161" s="1"/>
  <c r="U160" s="1"/>
  <c r="T163"/>
  <c r="S163"/>
  <c r="R163"/>
  <c r="Q163"/>
  <c r="P163" s="1"/>
  <c r="Y162"/>
  <c r="Z162" s="1"/>
  <c r="Z161" s="1"/>
  <c r="X162"/>
  <c r="V162"/>
  <c r="R162"/>
  <c r="S162" s="1"/>
  <c r="X161"/>
  <c r="Q161"/>
  <c r="K161"/>
  <c r="J161"/>
  <c r="Z159"/>
  <c r="V159"/>
  <c r="Z158"/>
  <c r="Y158"/>
  <c r="X158"/>
  <c r="W158"/>
  <c r="V158"/>
  <c r="U158"/>
  <c r="Z157"/>
  <c r="X157"/>
  <c r="Z156"/>
  <c r="Y156"/>
  <c r="X156"/>
  <c r="W156"/>
  <c r="V156"/>
  <c r="U156"/>
  <c r="Z155"/>
  <c r="Y155"/>
  <c r="X155"/>
  <c r="W155"/>
  <c r="V155"/>
  <c r="U155"/>
  <c r="Z153"/>
  <c r="Y153"/>
  <c r="X153"/>
  <c r="W153"/>
  <c r="V153"/>
  <c r="U153"/>
  <c r="V152"/>
  <c r="V151"/>
  <c r="V150"/>
  <c r="U149"/>
  <c r="V149" s="1"/>
  <c r="Z148"/>
  <c r="Y148"/>
  <c r="X148"/>
  <c r="W148"/>
  <c r="U148"/>
  <c r="Z146"/>
  <c r="Y146"/>
  <c r="X146"/>
  <c r="W146"/>
  <c r="V146"/>
  <c r="U146"/>
  <c r="Z145"/>
  <c r="X145"/>
  <c r="V145"/>
  <c r="R145"/>
  <c r="S145" s="1"/>
  <c r="Q145"/>
  <c r="Z144"/>
  <c r="Z143" s="1"/>
  <c r="Y144"/>
  <c r="X144"/>
  <c r="X143" s="1"/>
  <c r="W144"/>
  <c r="V144"/>
  <c r="V143" s="1"/>
  <c r="U144"/>
  <c r="R144"/>
  <c r="R143" s="1"/>
  <c r="Q144"/>
  <c r="O144"/>
  <c r="Y143"/>
  <c r="W143"/>
  <c r="U143"/>
  <c r="Q143"/>
  <c r="P143"/>
  <c r="K143"/>
  <c r="J143"/>
  <c r="Z142"/>
  <c r="Y142"/>
  <c r="V142"/>
  <c r="Y141"/>
  <c r="Z141" s="1"/>
  <c r="X141"/>
  <c r="V141"/>
  <c r="P141"/>
  <c r="Y140"/>
  <c r="Z140" s="1"/>
  <c r="X140"/>
  <c r="V140"/>
  <c r="P140"/>
  <c r="Y139"/>
  <c r="Z139" s="1"/>
  <c r="X139"/>
  <c r="V139"/>
  <c r="P139"/>
  <c r="W138"/>
  <c r="X138" s="1"/>
  <c r="V138"/>
  <c r="P138"/>
  <c r="Y137"/>
  <c r="Z137" s="1"/>
  <c r="X137"/>
  <c r="V137"/>
  <c r="P137"/>
  <c r="Y136"/>
  <c r="Z136" s="1"/>
  <c r="X136"/>
  <c r="V136"/>
  <c r="P136"/>
  <c r="Y135"/>
  <c r="Z135" s="1"/>
  <c r="X135"/>
  <c r="V135"/>
  <c r="P135"/>
  <c r="Y134"/>
  <c r="Z134" s="1"/>
  <c r="X134"/>
  <c r="V134"/>
  <c r="P134"/>
  <c r="Y133"/>
  <c r="Z133" s="1"/>
  <c r="X133"/>
  <c r="V133"/>
  <c r="P133"/>
  <c r="Y132"/>
  <c r="Z132" s="1"/>
  <c r="X132"/>
  <c r="V132"/>
  <c r="P132"/>
  <c r="Y131"/>
  <c r="Z131" s="1"/>
  <c r="X131"/>
  <c r="V131"/>
  <c r="P131"/>
  <c r="Y130"/>
  <c r="Z130" s="1"/>
  <c r="X130"/>
  <c r="V130"/>
  <c r="P130"/>
  <c r="Y129"/>
  <c r="Z129" s="1"/>
  <c r="X129"/>
  <c r="V129"/>
  <c r="P129"/>
  <c r="Y128"/>
  <c r="Z128" s="1"/>
  <c r="X128"/>
  <c r="V128"/>
  <c r="P128"/>
  <c r="Y127"/>
  <c r="Z127" s="1"/>
  <c r="X127"/>
  <c r="V127"/>
  <c r="P127"/>
  <c r="Y126"/>
  <c r="Z126" s="1"/>
  <c r="X126"/>
  <c r="V126"/>
  <c r="P126"/>
  <c r="Y125"/>
  <c r="Z125" s="1"/>
  <c r="X125"/>
  <c r="V125"/>
  <c r="P125"/>
  <c r="Y124"/>
  <c r="Z124" s="1"/>
  <c r="X124"/>
  <c r="V124"/>
  <c r="P124"/>
  <c r="Y123"/>
  <c r="Z123" s="1"/>
  <c r="X123"/>
  <c r="V123"/>
  <c r="P123"/>
  <c r="Y122"/>
  <c r="Z122" s="1"/>
  <c r="X122"/>
  <c r="V122"/>
  <c r="P122"/>
  <c r="Y121"/>
  <c r="Z121" s="1"/>
  <c r="X121"/>
  <c r="V121"/>
  <c r="P121"/>
  <c r="Y120"/>
  <c r="Z120" s="1"/>
  <c r="X120"/>
  <c r="V120"/>
  <c r="P120"/>
  <c r="Y119"/>
  <c r="Z119" s="1"/>
  <c r="X119"/>
  <c r="V119"/>
  <c r="P119"/>
  <c r="Y118"/>
  <c r="Z118" s="1"/>
  <c r="X118"/>
  <c r="V118"/>
  <c r="P118"/>
  <c r="Z117"/>
  <c r="Y117"/>
  <c r="X117"/>
  <c r="V117"/>
  <c r="P117"/>
  <c r="Y116"/>
  <c r="Z116" s="1"/>
  <c r="X116"/>
  <c r="V116"/>
  <c r="P116"/>
  <c r="Y115"/>
  <c r="Z115" s="1"/>
  <c r="X115"/>
  <c r="V115"/>
  <c r="P115"/>
  <c r="Y114"/>
  <c r="Z114" s="1"/>
  <c r="X114"/>
  <c r="V114"/>
  <c r="P114"/>
  <c r="Z113"/>
  <c r="Y113"/>
  <c r="X113"/>
  <c r="V113"/>
  <c r="P113"/>
  <c r="V112"/>
  <c r="W111"/>
  <c r="V111"/>
  <c r="U111"/>
  <c r="T111"/>
  <c r="S111"/>
  <c r="R111"/>
  <c r="Q111"/>
  <c r="K111"/>
  <c r="J111"/>
  <c r="V110"/>
  <c r="V109"/>
  <c r="P109"/>
  <c r="V108"/>
  <c r="P108"/>
  <c r="V107"/>
  <c r="P107"/>
  <c r="V106"/>
  <c r="P106"/>
  <c r="V105"/>
  <c r="P105"/>
  <c r="V104"/>
  <c r="P104"/>
  <c r="V103"/>
  <c r="P103"/>
  <c r="V102"/>
  <c r="P102"/>
  <c r="V101"/>
  <c r="P101"/>
  <c r="V100"/>
  <c r="P100"/>
  <c r="V99"/>
  <c r="P99"/>
  <c r="V98"/>
  <c r="P98"/>
  <c r="V97"/>
  <c r="P97"/>
  <c r="V96"/>
  <c r="P96"/>
  <c r="V95"/>
  <c r="P95"/>
  <c r="V94"/>
  <c r="P94"/>
  <c r="V93"/>
  <c r="P93"/>
  <c r="V92"/>
  <c r="P92"/>
  <c r="V91"/>
  <c r="P91"/>
  <c r="V90"/>
  <c r="P90"/>
  <c r="V89"/>
  <c r="P89"/>
  <c r="V88"/>
  <c r="P88"/>
  <c r="V87"/>
  <c r="P87"/>
  <c r="V86"/>
  <c r="P86"/>
  <c r="V85"/>
  <c r="P85"/>
  <c r="V84"/>
  <c r="P84"/>
  <c r="V83"/>
  <c r="P83"/>
  <c r="V82"/>
  <c r="P82"/>
  <c r="V81"/>
  <c r="P81"/>
  <c r="O81"/>
  <c r="V80"/>
  <c r="P80"/>
  <c r="V79"/>
  <c r="P79"/>
  <c r="Z77"/>
  <c r="Y77"/>
  <c r="X77"/>
  <c r="W77"/>
  <c r="V77"/>
  <c r="U77"/>
  <c r="T77"/>
  <c r="S77"/>
  <c r="R77"/>
  <c r="Q77"/>
  <c r="K77"/>
  <c r="J77"/>
  <c r="Z76"/>
  <c r="Z73" s="1"/>
  <c r="X76"/>
  <c r="V76"/>
  <c r="V73" s="1"/>
  <c r="Z75"/>
  <c r="X75"/>
  <c r="V75"/>
  <c r="Q75"/>
  <c r="Z74"/>
  <c r="X74"/>
  <c r="X73" s="1"/>
  <c r="V74"/>
  <c r="Q74"/>
  <c r="Q73" s="1"/>
  <c r="Y73"/>
  <c r="W73"/>
  <c r="U73"/>
  <c r="T73"/>
  <c r="S73"/>
  <c r="R73"/>
  <c r="Z72"/>
  <c r="Z71"/>
  <c r="X71"/>
  <c r="V71"/>
  <c r="Q71"/>
  <c r="Z70"/>
  <c r="X70"/>
  <c r="V70"/>
  <c r="Z69"/>
  <c r="X69"/>
  <c r="V69"/>
  <c r="Z68"/>
  <c r="X68"/>
  <c r="V68"/>
  <c r="Z67"/>
  <c r="Z59" s="1"/>
  <c r="Z52" s="1"/>
  <c r="X67"/>
  <c r="V67"/>
  <c r="Z66"/>
  <c r="X66"/>
  <c r="V66"/>
  <c r="Q66"/>
  <c r="Z65"/>
  <c r="X65"/>
  <c r="V65"/>
  <c r="Q65"/>
  <c r="Z64"/>
  <c r="X64"/>
  <c r="V64"/>
  <c r="Q64"/>
  <c r="Z63"/>
  <c r="X63"/>
  <c r="V63"/>
  <c r="Q63"/>
  <c r="Z62"/>
  <c r="X62"/>
  <c r="V62"/>
  <c r="Q62"/>
  <c r="Z61"/>
  <c r="X61"/>
  <c r="V61"/>
  <c r="Q61"/>
  <c r="Z60"/>
  <c r="X60"/>
  <c r="X59" s="1"/>
  <c r="V60"/>
  <c r="Q60"/>
  <c r="Y59"/>
  <c r="W59"/>
  <c r="V59"/>
  <c r="U59"/>
  <c r="T59"/>
  <c r="S59"/>
  <c r="R59"/>
  <c r="Q59"/>
  <c r="P59" s="1"/>
  <c r="O59"/>
  <c r="J59"/>
  <c r="Z58"/>
  <c r="X58"/>
  <c r="V58"/>
  <c r="Q58"/>
  <c r="Z57"/>
  <c r="X57"/>
  <c r="V57"/>
  <c r="Q57"/>
  <c r="Z56"/>
  <c r="X56"/>
  <c r="V56"/>
  <c r="Q56"/>
  <c r="Z55"/>
  <c r="X55"/>
  <c r="V55"/>
  <c r="Q55"/>
  <c r="Z54"/>
  <c r="X54"/>
  <c r="X53" s="1"/>
  <c r="V54"/>
  <c r="Q54"/>
  <c r="Q53" s="1"/>
  <c r="Q52" s="1"/>
  <c r="Z53"/>
  <c r="Y53"/>
  <c r="W53"/>
  <c r="V53"/>
  <c r="U53"/>
  <c r="T53"/>
  <c r="S53"/>
  <c r="R53"/>
  <c r="O53"/>
  <c r="Y52"/>
  <c r="W52"/>
  <c r="V52"/>
  <c r="U52"/>
  <c r="T52"/>
  <c r="S52"/>
  <c r="R52"/>
  <c r="J52"/>
  <c r="Y51"/>
  <c r="Z51" s="1"/>
  <c r="W51"/>
  <c r="X51" s="1"/>
  <c r="V51"/>
  <c r="Q51"/>
  <c r="Y50"/>
  <c r="Z50" s="1"/>
  <c r="W50"/>
  <c r="X50" s="1"/>
  <c r="V50"/>
  <c r="Q50"/>
  <c r="Y49"/>
  <c r="Z49" s="1"/>
  <c r="W49"/>
  <c r="X49" s="1"/>
  <c r="V49"/>
  <c r="Q49"/>
  <c r="Y48"/>
  <c r="Z48" s="1"/>
  <c r="W48"/>
  <c r="X48" s="1"/>
  <c r="V48"/>
  <c r="Q48"/>
  <c r="Y47"/>
  <c r="Z47" s="1"/>
  <c r="W47"/>
  <c r="X47" s="1"/>
  <c r="V47"/>
  <c r="Q47"/>
  <c r="Y46"/>
  <c r="Z46" s="1"/>
  <c r="W46"/>
  <c r="X46" s="1"/>
  <c r="V46"/>
  <c r="Q46"/>
  <c r="Y45"/>
  <c r="Z45" s="1"/>
  <c r="W45"/>
  <c r="X45" s="1"/>
  <c r="V45"/>
  <c r="Q45"/>
  <c r="Y44"/>
  <c r="Z44" s="1"/>
  <c r="Z43" s="1"/>
  <c r="W44"/>
  <c r="X44" s="1"/>
  <c r="X43" s="1"/>
  <c r="V44"/>
  <c r="Q44"/>
  <c r="Y43"/>
  <c r="W43"/>
  <c r="V43"/>
  <c r="U43"/>
  <c r="T43"/>
  <c r="S43"/>
  <c r="R43"/>
  <c r="Q43"/>
  <c r="P43" s="1"/>
  <c r="O43"/>
  <c r="K43"/>
  <c r="J43"/>
  <c r="Z42"/>
  <c r="X42"/>
  <c r="V42"/>
  <c r="Q42"/>
  <c r="Z41"/>
  <c r="X41"/>
  <c r="V41"/>
  <c r="Q41"/>
  <c r="Z40"/>
  <c r="X40"/>
  <c r="V40"/>
  <c r="Q40"/>
  <c r="Z39"/>
  <c r="X39"/>
  <c r="X38" s="1"/>
  <c r="V39"/>
  <c r="V38" s="1"/>
  <c r="Q39"/>
  <c r="Z38"/>
  <c r="Y38"/>
  <c r="W38"/>
  <c r="U38"/>
  <c r="T38"/>
  <c r="S38"/>
  <c r="R38"/>
  <c r="Q38"/>
  <c r="O38"/>
  <c r="Z37"/>
  <c r="Y37"/>
  <c r="X37"/>
  <c r="W37"/>
  <c r="V37"/>
  <c r="Y36"/>
  <c r="Z36" s="1"/>
  <c r="W36"/>
  <c r="X36" s="1"/>
  <c r="V36"/>
  <c r="Z35"/>
  <c r="Y35"/>
  <c r="X35"/>
  <c r="W35"/>
  <c r="V35"/>
  <c r="Y34"/>
  <c r="Z34" s="1"/>
  <c r="W34"/>
  <c r="X34" s="1"/>
  <c r="V34"/>
  <c r="T34"/>
  <c r="T30" s="1"/>
  <c r="S34"/>
  <c r="R34"/>
  <c r="R30" s="1"/>
  <c r="Q34"/>
  <c r="P34"/>
  <c r="O34"/>
  <c r="Z33"/>
  <c r="Y33"/>
  <c r="X33"/>
  <c r="W33"/>
  <c r="V33"/>
  <c r="Y32"/>
  <c r="Z32" s="1"/>
  <c r="W32"/>
  <c r="X32" s="1"/>
  <c r="V32"/>
  <c r="Z31"/>
  <c r="Z30" s="1"/>
  <c r="Y31"/>
  <c r="X31"/>
  <c r="X30" s="1"/>
  <c r="W31"/>
  <c r="V31"/>
  <c r="Y30"/>
  <c r="W30"/>
  <c r="U30"/>
  <c r="S30"/>
  <c r="Q30"/>
  <c r="K30"/>
  <c r="J30"/>
  <c r="Z29"/>
  <c r="Y29"/>
  <c r="X29"/>
  <c r="X26" s="1"/>
  <c r="W29"/>
  <c r="V29"/>
  <c r="Q29"/>
  <c r="Y28"/>
  <c r="Z28" s="1"/>
  <c r="W28"/>
  <c r="X28" s="1"/>
  <c r="V28"/>
  <c r="Q28"/>
  <c r="Y27"/>
  <c r="Z27" s="1"/>
  <c r="W27"/>
  <c r="X27" s="1"/>
  <c r="V27"/>
  <c r="Q27"/>
  <c r="Q26" s="1"/>
  <c r="Y26"/>
  <c r="V26"/>
  <c r="U26"/>
  <c r="T26"/>
  <c r="S26"/>
  <c r="R26"/>
  <c r="O26"/>
  <c r="J26"/>
  <c r="R25"/>
  <c r="Q25"/>
  <c r="S25" s="1"/>
  <c r="P25"/>
  <c r="J25"/>
  <c r="T24"/>
  <c r="S24"/>
  <c r="R24"/>
  <c r="R23" s="1"/>
  <c r="Q24"/>
  <c r="P24"/>
  <c r="O24"/>
  <c r="J24"/>
  <c r="J23" s="1"/>
  <c r="Z23"/>
  <c r="Y23"/>
  <c r="X23"/>
  <c r="W23"/>
  <c r="V23"/>
  <c r="U23"/>
  <c r="Q23"/>
  <c r="K23"/>
  <c r="T22"/>
  <c r="S22"/>
  <c r="R22"/>
  <c r="Q22"/>
  <c r="V21"/>
  <c r="V20"/>
  <c r="V19"/>
  <c r="V18"/>
  <c r="Z17"/>
  <c r="Z16" s="1"/>
  <c r="Y17"/>
  <c r="X17"/>
  <c r="X16" s="1"/>
  <c r="W17"/>
  <c r="U17"/>
  <c r="U16" s="1"/>
  <c r="U15" s="1"/>
  <c r="T17"/>
  <c r="S17"/>
  <c r="S16" s="1"/>
  <c r="R17"/>
  <c r="Q17"/>
  <c r="Q16" s="1"/>
  <c r="Y16"/>
  <c r="W16"/>
  <c r="T16"/>
  <c r="R16"/>
  <c r="K16"/>
  <c r="J16"/>
  <c r="Z12"/>
  <c r="Y12"/>
  <c r="X12"/>
  <c r="W12"/>
  <c r="V12"/>
  <c r="U12"/>
  <c r="Z11"/>
  <c r="Y11"/>
  <c r="X11"/>
  <c r="W11"/>
  <c r="U11"/>
  <c r="T162" l="1"/>
  <c r="T161" s="1"/>
  <c r="T160" s="1"/>
  <c r="S161"/>
  <c r="S160" s="1"/>
  <c r="S648"/>
  <c r="R647"/>
  <c r="R422"/>
  <c r="Q417"/>
  <c r="P545"/>
  <c r="P474"/>
  <c r="R15"/>
  <c r="V30"/>
  <c r="X52"/>
  <c r="X15" s="1"/>
  <c r="X111"/>
  <c r="V148"/>
  <c r="R161"/>
  <c r="Y161"/>
  <c r="W183"/>
  <c r="V183"/>
  <c r="V182" s="1"/>
  <c r="Q194"/>
  <c r="Q191" s="1"/>
  <c r="Q198"/>
  <c r="R198"/>
  <c r="X202"/>
  <c r="X201" s="1"/>
  <c r="X190" s="1"/>
  <c r="Y294"/>
  <c r="V306"/>
  <c r="Z306"/>
  <c r="V328"/>
  <c r="Z317"/>
  <c r="X328"/>
  <c r="X317" s="1"/>
  <c r="V375"/>
  <c r="V374" s="1"/>
  <c r="X474"/>
  <c r="X473" s="1"/>
  <c r="X472" s="1"/>
  <c r="P475"/>
  <c r="P473" s="1"/>
  <c r="P549"/>
  <c r="V625"/>
  <c r="V17"/>
  <c r="V16" s="1"/>
  <c r="V15" s="1"/>
  <c r="S23"/>
  <c r="T25"/>
  <c r="T23" s="1"/>
  <c r="W182"/>
  <c r="W160" s="1"/>
  <c r="V359"/>
  <c r="T414"/>
  <c r="V417"/>
  <c r="Q414"/>
  <c r="V475"/>
  <c r="Z609"/>
  <c r="T397"/>
  <c r="T376" s="1"/>
  <c r="T375" s="1"/>
  <c r="T374" s="1"/>
  <c r="S376"/>
  <c r="S375" s="1"/>
  <c r="S374" s="1"/>
  <c r="T145"/>
  <c r="T144" s="1"/>
  <c r="T143" s="1"/>
  <c r="S144"/>
  <c r="S143" s="1"/>
  <c r="S15" s="1"/>
  <c r="S422"/>
  <c r="S417" s="1"/>
  <c r="S414" s="1"/>
  <c r="R417"/>
  <c r="R645"/>
  <c r="R644" s="1"/>
  <c r="S646"/>
  <c r="S647"/>
  <c r="T648"/>
  <c r="T647" s="1"/>
  <c r="X183"/>
  <c r="X182" s="1"/>
  <c r="X160" s="1"/>
  <c r="W26"/>
  <c r="W15" s="1"/>
  <c r="Z26"/>
  <c r="Z183"/>
  <c r="Z182" s="1"/>
  <c r="Z160" s="1"/>
  <c r="R191"/>
  <c r="R190" s="1"/>
  <c r="R182" s="1"/>
  <c r="R160" s="1"/>
  <c r="R414"/>
  <c r="X414"/>
  <c r="Z417"/>
  <c r="Z475"/>
  <c r="Z473" s="1"/>
  <c r="Z472" s="1"/>
  <c r="Z414" s="1"/>
  <c r="Z564"/>
  <c r="R631"/>
  <c r="Y138"/>
  <c r="U475"/>
  <c r="U473" s="1"/>
  <c r="Y475"/>
  <c r="Y473" s="1"/>
  <c r="Y472" s="1"/>
  <c r="Y414" s="1"/>
  <c r="V476"/>
  <c r="V484"/>
  <c r="U547"/>
  <c r="W547"/>
  <c r="W472" s="1"/>
  <c r="W414" s="1"/>
  <c r="Y547"/>
  <c r="P548"/>
  <c r="P547" s="1"/>
  <c r="P472" s="1"/>
  <c r="P414" s="1"/>
  <c r="Y564"/>
  <c r="R628"/>
  <c r="R625" s="1"/>
  <c r="T628"/>
  <c r="T625" s="1"/>
  <c r="P191" l="1"/>
  <c r="P190" s="1"/>
  <c r="Q190"/>
  <c r="Q182" s="1"/>
  <c r="V474"/>
  <c r="V473" s="1"/>
  <c r="V472" s="1"/>
  <c r="V414" s="1"/>
  <c r="U472"/>
  <c r="U414" s="1"/>
  <c r="U14" s="1"/>
  <c r="U10" s="1"/>
  <c r="U8" s="1"/>
  <c r="X14"/>
  <c r="X10" s="1"/>
  <c r="X8" s="1"/>
  <c r="T15"/>
  <c r="V317"/>
  <c r="V160"/>
  <c r="Y160"/>
  <c r="Z138"/>
  <c r="Z111" s="1"/>
  <c r="Y111"/>
  <c r="Y15" s="1"/>
  <c r="Y14" s="1"/>
  <c r="Y10" s="1"/>
  <c r="Y8" s="1"/>
  <c r="T646"/>
  <c r="T645" s="1"/>
  <c r="T644" s="1"/>
  <c r="S645"/>
  <c r="S644" s="1"/>
  <c r="Z15"/>
  <c r="Z14" s="1"/>
  <c r="Z10" s="1"/>
  <c r="Z8" s="1"/>
  <c r="W14"/>
  <c r="W10" s="1"/>
  <c r="W8" s="1"/>
  <c r="V14" l="1"/>
  <c r="V10" s="1"/>
  <c r="V8" s="1"/>
</calcChain>
</file>

<file path=xl/comments1.xml><?xml version="1.0" encoding="utf-8"?>
<comments xmlns="http://schemas.openxmlformats.org/spreadsheetml/2006/main">
  <authors>
    <author>Автор</author>
  </authors>
  <commentList>
    <comment ref="R4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чел по 13000</t>
        </r>
      </text>
    </comment>
  </commentList>
</comments>
</file>

<file path=xl/sharedStrings.xml><?xml version="1.0" encoding="utf-8"?>
<sst xmlns="http://schemas.openxmlformats.org/spreadsheetml/2006/main" count="1414" uniqueCount="813">
  <si>
    <t xml:space="preserve">приложение к приказу Департаменту здравоохранения Орловской области </t>
  </si>
  <si>
    <t>№ _________ от "_____"_______________ 201 ___ г.</t>
  </si>
  <si>
    <t>Распределение субсидий на иные цели за счет средств областного бюджета в 2018 год и на плановый период 2019 и 2020 годов по подведомственным бюджетным учреждениям здравоохранения</t>
  </si>
  <si>
    <t>Наименование</t>
  </si>
  <si>
    <t>КБК</t>
  </si>
  <si>
    <t>Наименование мероприятия</t>
  </si>
  <si>
    <t>Отчет 2016 года</t>
  </si>
  <si>
    <t>Бюджет 2017 года</t>
  </si>
  <si>
    <t xml:space="preserve"> Экономическое обоснование расходов  </t>
  </si>
  <si>
    <t>Потребность по годам, рублей</t>
  </si>
  <si>
    <t>2018 год</t>
  </si>
  <si>
    <t>2019 год</t>
  </si>
  <si>
    <t>2020 год</t>
  </si>
  <si>
    <t>БА, рублей</t>
  </si>
  <si>
    <t>ЛБО, рублей</t>
  </si>
  <si>
    <t>Всего</t>
  </si>
  <si>
    <t>в том числе:</t>
  </si>
  <si>
    <t>Государственная программа Орловской области "Развитие отрасли здравоохранения в Орловской области"</t>
  </si>
  <si>
    <t>Государственная программа Орловской области "Молодежь Орловщины"</t>
  </si>
  <si>
    <t>Государственная программа Орловской области "Реализация наказов избирателей депутатам Орловского областного Совета народных депутатов"</t>
  </si>
  <si>
    <t xml:space="preserve">Подпрограмма 1. "Профилактика заболеваний и формирование здорового образа жизни. Развитие первичной медико-санитарной помощи" </t>
  </si>
  <si>
    <t xml:space="preserve">Субсидия бюджетным и автономным учреждениям на реализацию мероприятия "ВИЧ- инфекция" </t>
  </si>
  <si>
    <t>811</t>
  </si>
  <si>
    <t>0909</t>
  </si>
  <si>
    <t>П2 1 03 71660</t>
  </si>
  <si>
    <t>612</t>
  </si>
  <si>
    <t>5041</t>
  </si>
  <si>
    <t>52 П 2 01</t>
  </si>
  <si>
    <t>1111</t>
  </si>
  <si>
    <t>Основное мероприятие 1.3.                                    "Профилактика ВИЧ, вирусных гепатитов В и С и первичной медико-санитарной помощи"</t>
  </si>
  <si>
    <t xml:space="preserve"> БУЗ Орловской области "Орловский областной центр по профилактике и борьбе со СПИД и инфекционными заболеваниями"</t>
  </si>
  <si>
    <r>
      <t xml:space="preserve">Мероприятие 1.03.02.                                                   </t>
    </r>
    <r>
      <rPr>
        <sz val="16"/>
        <rFont val="Times New Roman"/>
        <family val="1"/>
        <charset val="204"/>
      </rPr>
      <t xml:space="preserve"> Обследование тест-системами, реактивами для проведения входного контроля качества, исследований  оппортунистических инфекцией,     а также исследований в рамках диспансерного наблюдения больных ВИЧ-инфекцией</t>
    </r>
  </si>
  <si>
    <t>340/7500 "Медикаменты"</t>
  </si>
  <si>
    <t xml:space="preserve">Тест -системы для иммуно-ферментного анализа                                                         </t>
  </si>
  <si>
    <t>наб.</t>
  </si>
  <si>
    <t>Тест-системы для полимеразной цепной реакции</t>
  </si>
  <si>
    <t>Наборы реагентов для иммунологии</t>
  </si>
  <si>
    <r>
      <t xml:space="preserve">Мероприятие 1.03.03.    </t>
    </r>
    <r>
      <rPr>
        <sz val="16"/>
        <rFont val="Times New Roman"/>
        <family val="1"/>
        <charset val="204"/>
      </rPr>
      <t xml:space="preserve">                                             Укрепление материально-технической базы. Проведение  ремонта помещений </t>
    </r>
  </si>
  <si>
    <t>225/7530  "Текущий ремонт"</t>
  </si>
  <si>
    <t>Текущий ремонт  кабинетов врачей-эпидемиологов</t>
  </si>
  <si>
    <r>
      <t xml:space="preserve">Мероприятие 1.03.04.                                                           </t>
    </r>
    <r>
      <rPr>
        <sz val="16"/>
        <rFont val="Times New Roman"/>
        <family val="1"/>
        <charset val="204"/>
      </rPr>
      <t>Обеспечение больных ВИЧ-инфекцией антиретровирусными препаратами, а также лекарственными препаратами для лечения оппортунистических заболеваний, побочных действий лекарственных препаратов, гормональными контрацептивами</t>
    </r>
  </si>
  <si>
    <t>340/7500    "Медикаменты"</t>
  </si>
  <si>
    <t>Медикаменты</t>
  </si>
  <si>
    <t>Субсидия бюджетным и автономным учреждениям на реализацию мероприятия "Вирусные гепатиты"</t>
  </si>
  <si>
    <t>5047</t>
  </si>
  <si>
    <t>52 П 2 07</t>
  </si>
  <si>
    <t xml:space="preserve">Основное мероприятие 1.3.                                     "Профилактика ВИЧ, вирусных гепатитов              В и С" </t>
  </si>
  <si>
    <t>БУЗ ОО "Городская больница им.С. П.Боткина"</t>
  </si>
  <si>
    <r>
      <t xml:space="preserve">Мероприятие 1.03.01.  </t>
    </r>
    <r>
      <rPr>
        <sz val="16"/>
        <rFont val="Times New Roman"/>
        <family val="1"/>
        <charset val="204"/>
      </rPr>
      <t xml:space="preserve">                                            Приобретение противовирусных препаратов для органазиции этиотропного лечения, лекарственных средств для коррекции побочных эффектов.                                                     </t>
    </r>
  </si>
  <si>
    <t>340/7500  "Медикаменты"</t>
  </si>
  <si>
    <t>упак</t>
  </si>
  <si>
    <t>БУЗ Орловской области "НКМЦ им. З.И. Круглой"</t>
  </si>
  <si>
    <t xml:space="preserve">Субсидия бюджетным и автономным учреждениям на реализацию мероприятия "Вакцинопрофи-лактика" </t>
  </si>
  <si>
    <t>П2 1 02 71660</t>
  </si>
  <si>
    <t>5042</t>
  </si>
  <si>
    <t>52 П 2 02</t>
  </si>
  <si>
    <t>Основное мероприятие 1.02.                                              "Профилактика инфекционных заболеваний, включая иммунопрофилактику"</t>
  </si>
  <si>
    <t xml:space="preserve"> БУЗ Орловской области "НКМЦ им. З.И. Круглой"</t>
  </si>
  <si>
    <t xml:space="preserve">Мероприятие 1.02.01. Приобретение медицинских иммунобиологических препаратов (вакцин) для проведения прививок контингентам, не подлежашим иммунизации в рамках национального календаря профилактических прививок, при обострении эпидемиологической обстановки по инфекциям, управляемые средствами иммунопрофилактики (вирусные гепатиты А и В, корь, краснуха, грипп, менингококковая инфекция, ветряная оспа и др.)                        </t>
  </si>
  <si>
    <t xml:space="preserve">Вакцина для профилактики брюшного тифа   раствор для подкожного введения 0,5 мл/ 1 доза ампулы №10 </t>
  </si>
  <si>
    <t>ампулы</t>
  </si>
  <si>
    <t>Вакцина для профилактики вирусного гепатита А, ампула 0,5 мл/доза</t>
  </si>
  <si>
    <t xml:space="preserve">Вакцина для профилактики вирусного гепатита А, ампула 1,0 мл/доза </t>
  </si>
  <si>
    <t xml:space="preserve">Субсидия бюджетным и автономным учреждениям на реализацию мероприятия "Туберкулез" </t>
  </si>
  <si>
    <t>5043</t>
  </si>
  <si>
    <t>52 П2 03</t>
  </si>
  <si>
    <t>Основное мероприятие  1.02.                                                  "Профилактика инфекционных заболеваний, включая иммунопрофилактику"</t>
  </si>
  <si>
    <t>Учреждение: БУЗ Орловской области "Орловский противотуберкулезный диспансер"</t>
  </si>
  <si>
    <r>
      <t xml:space="preserve">Мероприятие 1.02.02.01.    </t>
    </r>
    <r>
      <rPr>
        <sz val="16"/>
        <rFont val="Times New Roman"/>
        <family val="1"/>
        <charset val="204"/>
      </rPr>
      <t xml:space="preserve">                             Профилактика туберкулеза в очагах туберкулезной инфекции (обеспечение средствами для проведения дезинфекции)</t>
    </r>
  </si>
  <si>
    <t>Заключительная дезинфекция в очагах</t>
  </si>
  <si>
    <t>шт.</t>
  </si>
  <si>
    <t xml:space="preserve">Дезсредства  для текущей дезинфекции </t>
  </si>
  <si>
    <r>
      <t xml:space="preserve">Мероприятие 1.02.02.02.   </t>
    </r>
    <r>
      <rPr>
        <sz val="16"/>
        <rFont val="Times New Roman"/>
        <family val="1"/>
        <charset val="204"/>
      </rPr>
      <t xml:space="preserve">                                          Санитарно-просветительная работа, организация  месячника противотуберкулезной пропаганды</t>
    </r>
  </si>
  <si>
    <t>Размещение рекламы  социального характера (размещение баннера на улицах города)</t>
  </si>
  <si>
    <r>
      <t xml:space="preserve">Мероприятие 1.02.02.03.  </t>
    </r>
    <r>
      <rPr>
        <sz val="16"/>
        <rFont val="Times New Roman"/>
        <family val="1"/>
        <charset val="204"/>
      </rPr>
      <t xml:space="preserve">                                     Обеспечение проведения полного непрерывного курса химиотерапии противотуберкулезными препаратами больных</t>
    </r>
  </si>
  <si>
    <t>Препараты  противотуберкулезные</t>
  </si>
  <si>
    <r>
      <t xml:space="preserve">Мероприятие 1.02.02.04.  </t>
    </r>
    <r>
      <rPr>
        <sz val="16"/>
        <rFont val="Times New Roman"/>
        <family val="1"/>
        <charset val="204"/>
      </rPr>
      <t xml:space="preserve">                                     Оказание социальной поддержки больным туберкулезом</t>
    </r>
  </si>
  <si>
    <t>340/7520</t>
  </si>
  <si>
    <t>Приобретение продуктовых наборов для больных туберкулезом</t>
  </si>
  <si>
    <t>340/7660</t>
  </si>
  <si>
    <t>Приобретение гигиенических наборов для больных туберкулезом</t>
  </si>
  <si>
    <r>
      <t xml:space="preserve">Мероприятие 1.02.02.05. </t>
    </r>
    <r>
      <rPr>
        <sz val="16"/>
        <rFont val="Times New Roman"/>
        <family val="1"/>
        <charset val="204"/>
      </rPr>
      <t>Оплата проезда больных туберкулезом до места лечения и обратно</t>
    </r>
  </si>
  <si>
    <t>Компенсация стоимости проезда (кроме такси) до места лечения и обратно гражданам больным туберкулезом</t>
  </si>
  <si>
    <r>
      <rPr>
        <b/>
        <sz val="16"/>
        <rFont val="Times New Roman"/>
        <family val="1"/>
        <charset val="204"/>
      </rPr>
      <t xml:space="preserve">Мероприятие 1.02.02.06. </t>
    </r>
    <r>
      <rPr>
        <sz val="16"/>
        <rFont val="Times New Roman"/>
        <family val="1"/>
        <charset val="204"/>
      </rPr>
      <t>Приобретение современного лечебно-диагностического оборудования, диагностических средств</t>
    </r>
  </si>
  <si>
    <t>310/7540 "Приобретение оборудования"</t>
  </si>
  <si>
    <t>Медицинское оборудование</t>
  </si>
  <si>
    <t>Холодильник фармацевтический</t>
  </si>
  <si>
    <t xml:space="preserve">физиоаппарат </t>
  </si>
  <si>
    <t>Анализатор паров этанола в вдыхаемом воздухе</t>
  </si>
  <si>
    <t>Тележка для перевозки больных</t>
  </si>
  <si>
    <t>Субсидия бюджетным и автономным учреждениям на реализацию мероприятия "Инфекции, передаваемые половым путем"</t>
  </si>
  <si>
    <t>П2 1 04 71660</t>
  </si>
  <si>
    <t>5045</t>
  </si>
  <si>
    <t>52 П2 05</t>
  </si>
  <si>
    <t>Основное мероприятие 1.04.                                                      "Развитие первичной медико-санитарной помощи, в том числе сельским жителям. Развитие системы раннего выявления заболеваний и патологических состояний и факторов риска их развития, включая  проведение  медицинских осмотров и диспансеризации населения, в том числе у детей"</t>
  </si>
  <si>
    <t>БУЗ ОО ""Орловский областной кожно-венерологический диспансер"</t>
  </si>
  <si>
    <t>Мероприятие 1.04.02.01. Приобретение расходных материалов, тест-систем для лабораторной диагностики ИППП</t>
  </si>
  <si>
    <t xml:space="preserve">Набор реагентов для выделения гонококов культурным методом </t>
  </si>
  <si>
    <t>шт</t>
  </si>
  <si>
    <t xml:space="preserve"> Гемолитическая сыворотка для РСК (10 ампул по 1)</t>
  </si>
  <si>
    <t xml:space="preserve">Кровь баранья консервированная для реакции связывания комплимента (5 фл по 10 мл в наборе) </t>
  </si>
  <si>
    <t>ИФА анти-люис М для выявления антител к возбудителю сифилиса (96 определений)</t>
  </si>
  <si>
    <t xml:space="preserve">РПГА анти-люис для выявления специфических антител к Tr.pallidum в сыворотке и ликворе реакции пассивной гемаглютинации </t>
  </si>
  <si>
    <t xml:space="preserve">набор люмиВеси для выявления антител к tr.pallidum методом иммунофлюресценции (РИФ) </t>
  </si>
  <si>
    <t xml:space="preserve">Сифилис RPR - тест набор реагентов для выявления антител к кардиолипиновому антигену в реакции флокуляции (500 определений) </t>
  </si>
  <si>
    <t xml:space="preserve">Сифилис антигенг-кардиолипиновый РМП - антиген кардиолипиновый для реакции микропреципитации </t>
  </si>
  <si>
    <t xml:space="preserve">Субсидия бюджетным и автономным учреждениям на реализацию мероприятия "Психические расстройства" </t>
  </si>
  <si>
    <t>5049</t>
  </si>
  <si>
    <t>52 П 2 09</t>
  </si>
  <si>
    <t>Основное мероприятие 1.04.                          "Развитие первичной медико-санитарной помощи, в том числе сельским жителям. Развитие системы раннего выявления заболеваний и патологических состояний и факторов риска их развития, включая  проведение  медицинских осмотров и диспансеризации населения, в том числе у детей"</t>
  </si>
  <si>
    <t>Учреждение: БУЗ Орловской области "Орловский психоневрологический диспансер"</t>
  </si>
  <si>
    <t>Мероприятие 1.04.03.01. Оснащение современным медицинским и технологическим оборудованием, мебелью специализированных медицинских учреждений, оказывающих психиатрическую помощь</t>
  </si>
  <si>
    <t>310/7540 "Приобретение медицинского оборудования"</t>
  </si>
  <si>
    <t>ИТОГО</t>
  </si>
  <si>
    <t>Тест-диагностика акцентуаций свойств темпераметра</t>
  </si>
  <si>
    <t>Тест-диагностика для клинического психолога</t>
  </si>
  <si>
    <t>Комплект А-ВПК-программ "САНАТА"</t>
  </si>
  <si>
    <t xml:space="preserve"> набор экспериментально-психологических методик  </t>
  </si>
  <si>
    <t>Зрительно-моторный гетальт-тест</t>
  </si>
  <si>
    <t>Учреждение: БУЗ Орловской области "Орловская областная психиатрическая больница"</t>
  </si>
  <si>
    <t xml:space="preserve">касета пластиковая радиографическая  18*24 </t>
  </si>
  <si>
    <t xml:space="preserve">касета пластиковая радиографическая  24*30 </t>
  </si>
  <si>
    <t xml:space="preserve">касета пластиковая радиографическая  30*40 </t>
  </si>
  <si>
    <t xml:space="preserve">рамки для рентгеновских пленок  </t>
  </si>
  <si>
    <t>Рециркулятор бактерицидный передвижной</t>
  </si>
  <si>
    <t>Проботборник (аспиратор)</t>
  </si>
  <si>
    <t>Термогигрометр</t>
  </si>
  <si>
    <t>Стол медицинский</t>
  </si>
  <si>
    <t>Стул медицинский</t>
  </si>
  <si>
    <t>Кушетка медицинская</t>
  </si>
  <si>
    <t>Шкаф для уборочного инвентаря</t>
  </si>
  <si>
    <t>Шкаф медицинский металлический двухдверный для одежды</t>
  </si>
  <si>
    <t>Департамент здравоохранения Орловской области</t>
  </si>
  <si>
    <t xml:space="preserve">Субсидия бюджетным и автономным учреждениям на реализацию мероприятия "Сахарный диабет"  </t>
  </si>
  <si>
    <t>5044</t>
  </si>
  <si>
    <t>52 П2 04</t>
  </si>
  <si>
    <t>Основное мероприятие 1.04.                        "Развитие первичной медико-санитарной помощи, в том числе сельским жителям. Развитие системы раннего выявления заболеваний и патологических состояний и факторов риска их развития, включая  проведение  медицинских осмотров и диспансеризации населения, в том числе у детей"</t>
  </si>
  <si>
    <t>Учреждение: БУЗ Орловской области "Орловский областной врачебно-физкультурный диспансер"</t>
  </si>
  <si>
    <r>
      <t xml:space="preserve">Мероприятие 1.04.01.01. </t>
    </r>
    <r>
      <rPr>
        <sz val="16"/>
        <rFont val="Times New Roman"/>
        <family val="1"/>
        <charset val="204"/>
      </rPr>
      <t>Реализация информационных образовательных и обучающих программ для населения, больных и окружающиз их лиц, в том числе в специально организованных школах</t>
    </r>
  </si>
  <si>
    <t>226/7660           "Прочие работы, услуги"</t>
  </si>
  <si>
    <t xml:space="preserve">Трансляция роликов </t>
  </si>
  <si>
    <t>сек</t>
  </si>
  <si>
    <t>Трансляция сюжетов по ТВ (1 сюжет в квартал)</t>
  </si>
  <si>
    <t>Прямой эфир со специалистами на ТВ</t>
  </si>
  <si>
    <t>выпуск</t>
  </si>
  <si>
    <t xml:space="preserve">Субсидия бюджетным и автономным учреждениям здравоохране-ния, предоставляющим амбулаторную медицинскую помощь, на приобретение медицинских иммунобиологи-ческих препаратов  </t>
  </si>
  <si>
    <t>0902</t>
  </si>
  <si>
    <t>П2 1 04 70110</t>
  </si>
  <si>
    <t>5949</t>
  </si>
  <si>
    <t>510 012</t>
  </si>
  <si>
    <t>Основное мероприятие 1.04.                        "Развитие первичной медико-санитарной помощи, в том числе сельским жителям. Развитие системы раннего выявления заболеваний и патологических состояний и факторов риска их развития, включая  проведение  медицинских осмотров и диспансеризации населения,  в том числе у детей"</t>
  </si>
  <si>
    <t>БУЗ ОО "Детская  поликлиника №1"</t>
  </si>
  <si>
    <t>Мероприятие 1.04.05. Приобретение медицинских иммунобиологических препаратов</t>
  </si>
  <si>
    <t>БУЗ ОО "Детская поликлиника №2"</t>
  </si>
  <si>
    <t>БУЗ ОО "Детская поликлиника №3"</t>
  </si>
  <si>
    <t>БУЗ ОО "Городская больница им.С.П.Боткина"</t>
  </si>
  <si>
    <t>БУЗ ОО "Болховская ЦРБ"</t>
  </si>
  <si>
    <t>БУЗ ОО "Верховская ЦРБ"</t>
  </si>
  <si>
    <t>БУЗ ОО "Глазуновская ЦРБ"</t>
  </si>
  <si>
    <t>БУЗ ОО "Дмитровская ЦРБ"</t>
  </si>
  <si>
    <t>БУЗ ОО "Должанская ЦРБ"</t>
  </si>
  <si>
    <t>БУЗ ОО "Залегощенская ЦРБ"</t>
  </si>
  <si>
    <t>БУЗ ОО "Знаменская ЦРБ"</t>
  </si>
  <si>
    <t>БУЗ ОО "Колпнянская ЦРБ"</t>
  </si>
  <si>
    <t>БУЗ ОО "Корсаковская ЦРБ"</t>
  </si>
  <si>
    <t>БУЗ ОО "Краснозоренская ЦРБ"</t>
  </si>
  <si>
    <t>БУЗ ОО "Кромская ЦРБ"</t>
  </si>
  <si>
    <t>БУЗ ОО "Ливенская ЦРБ"</t>
  </si>
  <si>
    <t>БУЗ ОО "Малоархангельская ЦРБ"</t>
  </si>
  <si>
    <t>БУЗ ОО "Мценская ЦРБ"</t>
  </si>
  <si>
    <t>БУЗ "Нарышкинская ЦРБ"</t>
  </si>
  <si>
    <t>БУЗ ОО "Новосильская ЦРБ"</t>
  </si>
  <si>
    <t>БУЗ ОО "Новодеревеньковская ЦРБ"</t>
  </si>
  <si>
    <t>БУЗ ОО "Плещеевская ЦРБ"</t>
  </si>
  <si>
    <t>БУЗ ОО "Покровская ЦРБ"</t>
  </si>
  <si>
    <t>БУЗ ОО "Сосковская ЦРБ"</t>
  </si>
  <si>
    <t>БУЗ ОО "Свердловская ЦРБ"</t>
  </si>
  <si>
    <t>БУЗ ОО "Троснянская ЦРБ"</t>
  </si>
  <si>
    <t>БУЗ ОО "Шаблыкинская ЦРБ"</t>
  </si>
  <si>
    <t>БУЗ ОО "Хотынецкая  ЦРБ"</t>
  </si>
  <si>
    <t>БУЗ ОО "Поликлиника №2"</t>
  </si>
  <si>
    <t>БУЗ ОО "Поликлиника №1"</t>
  </si>
  <si>
    <t>БУЗ ОО "Поликлиника №3"</t>
  </si>
  <si>
    <t xml:space="preserve"> Субсидии бюджетным и автономным учреждениям здравоохранения, предоставляющим амбулаторную медицинскую помощь, на хранение медицинских иммунобиологи-ческих препаратов</t>
  </si>
  <si>
    <t>5950</t>
  </si>
  <si>
    <t>510 013</t>
  </si>
  <si>
    <t>226/7660 "Прочие работы, услуги"</t>
  </si>
  <si>
    <t>БУЗ ОО "НКМЦ ИМ. З. И. КРУГЛОЙ"</t>
  </si>
  <si>
    <t>Мероприятие  1.04.06. Хранения медицинских иммунобиологических препаратов</t>
  </si>
  <si>
    <t>БУЗ ОО "Городская больница им. С.П. Боткина"</t>
  </si>
  <si>
    <t>БУЗ ОО "Детская поликлиника №1"</t>
  </si>
  <si>
    <t>БУЗ ОО "Поликлиника № 2"</t>
  </si>
  <si>
    <t>БУЗ ОО "Родильный дом"</t>
  </si>
  <si>
    <t>БУЗ ОО "Хотынецкая ЦРБ"</t>
  </si>
  <si>
    <t xml:space="preserve">Субсидия бюджетным и автономным учреждениям на реализацию мероприятия "Формирование здорового образа жизни у населения Орловской области" </t>
  </si>
  <si>
    <t>П2 1 01 71660</t>
  </si>
  <si>
    <t>5220</t>
  </si>
  <si>
    <t>52 П 2 10</t>
  </si>
  <si>
    <t xml:space="preserve">Основное мероприятие  1.01.                           "Развитие  системы  медицинской профилактики неинфекционных заболеваний и формирование здорового образа  жизни, в том числе  у детей. Профилактика зависимости, включая сокращение потребления  табака, алкоголя, наркотических средств, психоактивных веществ, в том числе у детей" </t>
  </si>
  <si>
    <t>Учреждение: БУЗ Орловской области "Орловский наркологичнский диспансер"</t>
  </si>
  <si>
    <t>ВСЕГО</t>
  </si>
  <si>
    <r>
      <rPr>
        <b/>
        <sz val="16"/>
        <rFont val="Times New Roman"/>
        <family val="1"/>
        <charset val="204"/>
      </rPr>
      <t xml:space="preserve">Мероприятие 1.01.1.2. </t>
    </r>
    <r>
      <rPr>
        <sz val="16"/>
        <rFont val="Times New Roman"/>
        <family val="1"/>
        <charset val="204"/>
      </rPr>
      <t xml:space="preserve">Приобретение расходных материалов для медицинского оборудования </t>
    </r>
  </si>
  <si>
    <t xml:space="preserve">тест-полоски        </t>
  </si>
  <si>
    <t>Субсидия на увеличение стоимости основных средств</t>
  </si>
  <si>
    <t>530          002</t>
  </si>
  <si>
    <t>Мероприятие 1.04.07. Увеличение стоимости основных средств для укрепления материально-технической базы учреждений</t>
  </si>
  <si>
    <t>Субсидия на финансовое обеспечение расходов по исполнительным листам</t>
  </si>
  <si>
    <t>530 009</t>
  </si>
  <si>
    <t>Мероприятие 1.04.08. Обеспечение расходов по исполнительным листам</t>
  </si>
  <si>
    <t>Субсидия на проведение капитального ремонта в рамках реализации межведомственной инвестиционной программы</t>
  </si>
  <si>
    <t>П2 1 04 72320</t>
  </si>
  <si>
    <t>530                         004</t>
  </si>
  <si>
    <t>Мероприятие 1.04.09. Капитальный ремон здания фельдшерско-акушерского пункта по адресу: Орловская область, Знаменский район, с. Гнездилово</t>
  </si>
  <si>
    <t>Капитальный ремон здания фельдшерско-акушерского пункта по адресу: Орловская область, Знаменский район, с. Гнездилово</t>
  </si>
  <si>
    <t>Софинансирование расходных обязательств</t>
  </si>
  <si>
    <t>Субсидии на реализацию отдельных мероприятий государственной программы Российской Федерации "Развитие здравоохране-ния"</t>
  </si>
  <si>
    <t>П2 1 03 R3820</t>
  </si>
  <si>
    <t>18-В02</t>
  </si>
  <si>
    <t>БУЗ ОО "Орловский областной центр по профилактике и борьбе со СПИД и инфекционными заболеваниями"</t>
  </si>
  <si>
    <t>Мероприятие 1.03.05 Приобретение детских сухих смесей для детей с перинатальным контактом  по ВИЧ-инфекции</t>
  </si>
  <si>
    <t>Приобретение детских сухих смесей для детей с перинатальным контактом  по ВИЧ-инфекции</t>
  </si>
  <si>
    <t>18-В02-00005</t>
  </si>
  <si>
    <t>Подпрограмма 2. "Совершенствование оказания специализированной, включая высокотехнологичную, медицинской помощи, в том числе скорой специализированной медицинской помощи, медицинской эвакуации"</t>
  </si>
  <si>
    <t xml:space="preserve">Субсидия бюджетным и автономным учреждениям на реализацию мероприятия "Онкология" </t>
  </si>
  <si>
    <t>П2 2 06 71660</t>
  </si>
  <si>
    <t>5048</t>
  </si>
  <si>
    <t>52 П 2 08</t>
  </si>
  <si>
    <t xml:space="preserve">Основное мероприятие 2.06. "Совершенствование системы оказания медицинской помощи больным онкологическими заболеваниями" </t>
  </si>
  <si>
    <t>Учреждение: БУЗ Орловской области "Орловский онкологический диспансер"</t>
  </si>
  <si>
    <r>
      <t xml:space="preserve">Мероприятие 2.06.03. </t>
    </r>
    <r>
      <rPr>
        <sz val="16"/>
        <rFont val="Times New Roman"/>
        <family val="1"/>
        <charset val="204"/>
      </rPr>
      <t>Ремонт оборудования, приобретение запасных   частей  к оборудованию, расходных материалов для оборудования, реагентов, комплектующих к оборудованию, радиофармецевтических препаратов и вспомогательных материалов</t>
    </r>
  </si>
  <si>
    <t>225/7660</t>
  </si>
  <si>
    <t>Ремонт медицинского оборудования</t>
  </si>
  <si>
    <t xml:space="preserve"> 340/7660  "Прочие материальные запасы"</t>
  </si>
  <si>
    <t xml:space="preserve">Расходные материалы для автоматического анализатора для определения скорости оседания эритроцитов (СОЭ)                      </t>
  </si>
  <si>
    <t>набор</t>
  </si>
  <si>
    <t xml:space="preserve">Расходные материалы для анализатора             </t>
  </si>
  <si>
    <t xml:space="preserve"> Реагенты для автоматического анализатора электролитов                                                       </t>
  </si>
  <si>
    <t>Реагенты для автоматического гематологического анализатора</t>
  </si>
  <si>
    <t xml:space="preserve">Расходные материалы для автоматического анализатора газов крови                                             </t>
  </si>
  <si>
    <t xml:space="preserve">Пленка термографическая для принтера </t>
  </si>
  <si>
    <t xml:space="preserve">Расходные материалы для анализатора </t>
  </si>
  <si>
    <t xml:space="preserve">Рентгенографическая пленка                                                                       </t>
  </si>
  <si>
    <t xml:space="preserve">Рентгеновские пленки для принтера                                             </t>
  </si>
  <si>
    <t>Наборы для обслуживания автоматического гематологического анализатора</t>
  </si>
  <si>
    <t>Расходные материалы для электрохирургического аппарата</t>
  </si>
  <si>
    <t xml:space="preserve"> Реагенты  для проведения исследований                      </t>
  </si>
  <si>
    <t>Комплектующие, расходные материалы для оборудования, запасные части для оборудования</t>
  </si>
  <si>
    <r>
      <t>Мероприятие 2.06.03.</t>
    </r>
    <r>
      <rPr>
        <sz val="16"/>
        <rFont val="Times New Roman"/>
        <family val="1"/>
        <charset val="204"/>
      </rPr>
      <t>Внедрение  новых технологий лечения и профилактики онкологических заболеваний</t>
    </r>
  </si>
  <si>
    <t>Приобретение медицинского оборудования</t>
  </si>
  <si>
    <t>Субсидия бюджетным и автономным учреждениям на реализацию мероприятия "Первоочередные мероприятия по профилактике, диагностике и лечению сердечно-сосудистых заболеваний"</t>
  </si>
  <si>
    <t>П2 2 05 71660</t>
  </si>
  <si>
    <t>5450</t>
  </si>
  <si>
    <t>52 П 2 12</t>
  </si>
  <si>
    <t>Основное мероприятие  2.05.  "Совершенствование системы оказания медицинской помощи больным сосудистыми заболеваниями"</t>
  </si>
  <si>
    <r>
      <t>Мероприятие 2.05.01.                С</t>
    </r>
    <r>
      <rPr>
        <sz val="16"/>
        <rFont val="Times New Roman"/>
        <family val="1"/>
        <charset val="204"/>
      </rPr>
      <t>овершенствование методов раннего выявления диагностики, лечения и реабилитации при сосудистых заболеваниях. Внедрение первичной профилактики инсульта и инфаркта</t>
    </r>
  </si>
  <si>
    <t>сек.</t>
  </si>
  <si>
    <t>Трансляция сюжетов по ТВ</t>
  </si>
  <si>
    <t>Размещение статей в газетах "Орловская правда" и "Городская газета"</t>
  </si>
  <si>
    <t xml:space="preserve"> кол-во</t>
  </si>
  <si>
    <t>Прямой эфир со специалистами на радио</t>
  </si>
  <si>
    <t>Подготовка видеороликов</t>
  </si>
  <si>
    <t xml:space="preserve">кол-во </t>
  </si>
  <si>
    <t>Учреждение: БУЗ Орловской области "Орловская областная клиническая больница"</t>
  </si>
  <si>
    <r>
      <t xml:space="preserve"> Мероприятие 2.05.02</t>
    </r>
    <r>
      <rPr>
        <sz val="16"/>
        <rFont val="Times New Roman"/>
        <family val="1"/>
        <charset val="204"/>
      </rPr>
      <t xml:space="preserve">.  Укрепление материально-технической базы регионального сосудистого центра на базе БУЗ Орловской области "ООКБ". </t>
    </r>
  </si>
  <si>
    <t>ИТОГО (2018 год)</t>
  </si>
  <si>
    <t>Неврологическое отд.№2 для больных с ОНМК с ПРИТ</t>
  </si>
  <si>
    <t xml:space="preserve">Функциональная кровать с боковыми стенками 4-х секционная </t>
  </si>
  <si>
    <t>Отделение патологии речи и нейрореабилитации</t>
  </si>
  <si>
    <t xml:space="preserve">Аппарат для роботизированной механотерапии верхних и нижних конечностей  </t>
  </si>
  <si>
    <t>Отд.анестезиологии-реанимации для ведения больных нейрохирургического профиля</t>
  </si>
  <si>
    <t xml:space="preserve">Аппарат ИВЛ </t>
  </si>
  <si>
    <t>Отделение функциональной диагностики</t>
  </si>
  <si>
    <t xml:space="preserve">Электроэнцефалограф </t>
  </si>
  <si>
    <t>Аппаратно-программный комплекс 
комбинированный: регистратор АД+ЭКГ</t>
  </si>
  <si>
    <t>ИТОГО (2019 год)</t>
  </si>
  <si>
    <t>Кардиологическое отд.№ 1 с ПРИТ</t>
  </si>
  <si>
    <t>Портативный электрокардиограф</t>
  </si>
  <si>
    <t xml:space="preserve">Дефибриллятор бифазный с функцией синхронизации </t>
  </si>
  <si>
    <t>Функциональная кровать с возможностью быстрой доставки на ней больных в ПРИТ и проведение на ней закрытого массажа сердца</t>
  </si>
  <si>
    <t xml:space="preserve">Портативный электрокардиограф </t>
  </si>
  <si>
    <t xml:space="preserve">Аппарат «Артмео» для разработки верхних конечностей </t>
  </si>
  <si>
    <t>Аппарат для электромагнитотера-пии</t>
  </si>
  <si>
    <t>Аппарат УФО переносной</t>
  </si>
  <si>
    <t>Прикроватный столик</t>
  </si>
  <si>
    <t>Кресло-туалет</t>
  </si>
  <si>
    <t>Аппарат для роботизированной механотерапии нижних конечностей "Мотомед" или "Теравитал"</t>
  </si>
  <si>
    <t>Оборудование для восстановления мышечной силы для мелких мышц</t>
  </si>
  <si>
    <t>Программа когнитивной реабилитации</t>
  </si>
  <si>
    <t>Портативный электрокардиограф – (весом не более 3кг)</t>
  </si>
  <si>
    <t>ИТОГО (2020 год)</t>
  </si>
  <si>
    <t>Кровать функциональная с боковыми спинками трехсекционная для палаты ранней реабилитации</t>
  </si>
  <si>
    <t>Аппарат ИВЛ</t>
  </si>
  <si>
    <t>Учреждение: БУЗ Орловской области  "Мценская центральная районная больница"</t>
  </si>
  <si>
    <r>
      <t xml:space="preserve"> Мероприятие 2.05.02.  </t>
    </r>
    <r>
      <rPr>
        <sz val="16"/>
        <rFont val="Times New Roman"/>
        <family val="1"/>
        <charset val="204"/>
      </rPr>
      <t xml:space="preserve">           Укрепление материально-технической базы первичного сосудистого центра на базе БУЗ Орловской области "Мценская ЦРБ"</t>
    </r>
  </si>
  <si>
    <t>массажная кушетка с элетроприводом-</t>
  </si>
  <si>
    <t xml:space="preserve"> электроэнцефалограф-</t>
  </si>
  <si>
    <t xml:space="preserve">тумбы прикроватные - </t>
  </si>
  <si>
    <t xml:space="preserve">портативный электрокардиограф </t>
  </si>
  <si>
    <t xml:space="preserve">кровать функциональная </t>
  </si>
  <si>
    <t xml:space="preserve"> холодильник </t>
  </si>
  <si>
    <t xml:space="preserve">аппарат для электростимуляции переносной </t>
  </si>
  <si>
    <t>Учреждение: БУЗ Орловской области  "Ливенская центральная районная больница"</t>
  </si>
  <si>
    <r>
      <t xml:space="preserve"> Мероприятие 2.05.02.   </t>
    </r>
    <r>
      <rPr>
        <sz val="16"/>
        <rFont val="Times New Roman"/>
        <family val="1"/>
        <charset val="204"/>
      </rPr>
      <t xml:space="preserve">           Укрепление материально-технической базы первичного сосудистого центра на базе БУЗ Орловской области "Ливенская ЦРБ"</t>
    </r>
  </si>
  <si>
    <t>руб.</t>
  </si>
  <si>
    <t xml:space="preserve">прикроватное кресло с высокими спинками и опускающимися подлокотниками </t>
  </si>
  <si>
    <t xml:space="preserve">ортез для коленного сустава  </t>
  </si>
  <si>
    <t xml:space="preserve">ортез для кисти </t>
  </si>
  <si>
    <t xml:space="preserve">ортез для голеностопного сустава </t>
  </si>
  <si>
    <t xml:space="preserve">регистратор холтеровского мониторирования АД </t>
  </si>
  <si>
    <t xml:space="preserve">регистратор холтеровского мониторирования ЭКГ </t>
  </si>
  <si>
    <t xml:space="preserve">аппарат для лазерной терапии переносной  </t>
  </si>
  <si>
    <t xml:space="preserve">переносной УФО-аппарат переносной </t>
  </si>
  <si>
    <t xml:space="preserve">аппарат для вакуум-пресстерапии переносной </t>
  </si>
  <si>
    <t xml:space="preserve">подъемник для больных </t>
  </si>
  <si>
    <t xml:space="preserve">аппарат для активно-пассивной  механотерапии </t>
  </si>
  <si>
    <t xml:space="preserve">монитор больного с расширенными возможностями оценки гемодинамики и дыхания: респирограммы, пульсоксиметрия, капнометрия, неинвазивное и инвазивное измерение артериального давления, электрокардиография с анализом ST-сегмента, сердечного выброса с автоматическим включением сигнала тревоги, возможностью автономной работы  </t>
  </si>
  <si>
    <t xml:space="preserve">портативный элетрокардиограф с вожможностью автономной работы </t>
  </si>
  <si>
    <t xml:space="preserve">компьтерный электороэнцефалограф с возможностью длительного моноторирования электроэнцефалограм-мы и вызванных потенциалов  </t>
  </si>
  <si>
    <t xml:space="preserve">дефибриллятор с функцией синхронизации   </t>
  </si>
  <si>
    <t xml:space="preserve">ротатометр с увлажнителем </t>
  </si>
  <si>
    <t xml:space="preserve">автоматический дозатор лекарственных средств шприцевой </t>
  </si>
  <si>
    <t xml:space="preserve">автоматический пневмомассажер конечностей </t>
  </si>
  <si>
    <t xml:space="preserve">прикроватный столик  </t>
  </si>
  <si>
    <t xml:space="preserve">тумба прикроватная </t>
  </si>
  <si>
    <t xml:space="preserve">энторомат </t>
  </si>
  <si>
    <t xml:space="preserve">тест-полоски для аппарата экстренного определения МНО </t>
  </si>
  <si>
    <t xml:space="preserve">программа когнитивной реабилитации </t>
  </si>
  <si>
    <t xml:space="preserve">портотивный электрокардиограф с вожможностью автономной работы </t>
  </si>
  <si>
    <t xml:space="preserve">Функциональная кровать </t>
  </si>
  <si>
    <t xml:space="preserve">прикроватный столик </t>
  </si>
  <si>
    <t xml:space="preserve">прикроватное кресло </t>
  </si>
  <si>
    <t xml:space="preserve"> прикроватная информационная доска </t>
  </si>
  <si>
    <t xml:space="preserve">протипролежный матрас </t>
  </si>
  <si>
    <t xml:space="preserve">ортез для коленного </t>
  </si>
  <si>
    <t xml:space="preserve">аппарат электротерапии </t>
  </si>
  <si>
    <t xml:space="preserve">апаарат для лазерной терапии </t>
  </si>
  <si>
    <t xml:space="preserve">аппарат для вакуум-пресстерапии </t>
  </si>
  <si>
    <t xml:space="preserve">аппарат для активно-пассивной механотерапии </t>
  </si>
  <si>
    <t xml:space="preserve">тележка-каталка для перевозки больных  </t>
  </si>
  <si>
    <t xml:space="preserve">ротатометр </t>
  </si>
  <si>
    <t xml:space="preserve">мобильная реанимационная тележка </t>
  </si>
  <si>
    <t xml:space="preserve"> БУЗ ОО " Больница скорой медицинской помощи им. Семашко"</t>
  </si>
  <si>
    <r>
      <t xml:space="preserve">Мероприятие 2.05.02. </t>
    </r>
    <r>
      <rPr>
        <sz val="16"/>
        <rFont val="Times New Roman"/>
        <family val="1"/>
        <charset val="204"/>
      </rPr>
      <t xml:space="preserve"> Укрепление материально-технической базы первичного сосудистого центра на базе БУЗ Орловской области "БСМП им.Н.А.Семашко"</t>
    </r>
  </si>
  <si>
    <t>итого</t>
  </si>
  <si>
    <t>Степпер</t>
  </si>
  <si>
    <t>Кровати функциональные с принадлежностями</t>
  </si>
  <si>
    <t xml:space="preserve">Субсидия бюджетным и автономым учреждениям на льготное обеспечение техническими средствами слухопротезирования отдельных категорий граждан </t>
  </si>
  <si>
    <t>П2 2 09 71240</t>
  </si>
  <si>
    <t>5929</t>
  </si>
  <si>
    <t>510 009</t>
  </si>
  <si>
    <t>Основное мероприятие 2.09. "Совершенствование системы оказания медицинской помощи больным прочими заболеваниями"</t>
  </si>
  <si>
    <t xml:space="preserve"> БУЗ Орловской области "Орловская областная клиническая больница"</t>
  </si>
  <si>
    <r>
      <t>Мероприятие 2.09.05.</t>
    </r>
    <r>
      <rPr>
        <sz val="16"/>
        <rFont val="Times New Roman"/>
        <family val="1"/>
        <charset val="204"/>
      </rPr>
      <t xml:space="preserve"> Льготное обеспечение техническими средствами слухопротезирования отдельных категорий граждан</t>
    </r>
  </si>
  <si>
    <t xml:space="preserve">Льготное обеспечение техническими средствами слухопротезирования отдельных категорий граждан (слуховые аппараты)
потребность </t>
  </si>
  <si>
    <t xml:space="preserve">Субсидия бюджетным и автономным учреждениям на реализацию основного мероприятия "Обеспечение функциональной готовности к оказанию медико-санитарной помощи в условиях возникновения чрезвычайных ситуаций техногенного, природного и искусственного характера" </t>
  </si>
  <si>
    <t>П2 2 13 71660</t>
  </si>
  <si>
    <t>5046</t>
  </si>
  <si>
    <t>52 П2 06</t>
  </si>
  <si>
    <t>Основное мероприятие 2.13   "Обеспечение  функциональной готовности  к оказанию  медико-санитарной  помощи  в условиях  возникновения  чрезвычайных  ситуаций  техногенного, природного  и искусственного характера"</t>
  </si>
  <si>
    <t>БУЗ ОО "Орловская областная клиническая больница"</t>
  </si>
  <si>
    <t xml:space="preserve">Мероприятие 2.13.03. Формирование и обновление запасов медицинского имущества, средств спасения и оказания медицинской помощи в чрезвычайных ситуациях </t>
  </si>
  <si>
    <t>Автоматизированная инфузионная система INFUZIOMAT</t>
  </si>
  <si>
    <t>Монитор пациента</t>
  </si>
  <si>
    <t>Пульсоксиметр</t>
  </si>
  <si>
    <t>Передвижной операционный медицинский светильник с аварийным питанием с возможностью регулировки освещенности, электропитанием от сети переменного тока, с автоматическим переключением на встроенные резервные батареи и автоматической зарядкой их</t>
  </si>
  <si>
    <t>Ларингоскоп с набором клинков</t>
  </si>
  <si>
    <t>Электрокардиограф по типу Аксион по типу ЭКЗТ-02</t>
  </si>
  <si>
    <t>Субсидия бюджетным и автономным учреждениям здравоохранения по заготовке, переработке, хранению и обеспечению безопасности донорской крови и ее компонентов на предоставление мер социальной поддержки из числе доноров, безвозмездно сдавшим кровь и (или) ее компоненты</t>
  </si>
  <si>
    <t>0906</t>
  </si>
  <si>
    <t xml:space="preserve">П2 2 11 70110 </t>
  </si>
  <si>
    <t xml:space="preserve">612 </t>
  </si>
  <si>
    <t>5937</t>
  </si>
  <si>
    <t>510 011</t>
  </si>
  <si>
    <t xml:space="preserve">Основное мероприятие 2.11."Развитие службы крови" </t>
  </si>
  <si>
    <t>БУЗ Орловской области "Орловская станция переливания крови"</t>
  </si>
  <si>
    <t>Мероприятие 2.11.03. Предоставление мер социальной поддержки из числа доноров, безвозмездно сдавшим кровь и (или) ее компонентов</t>
  </si>
  <si>
    <t>Основание: Закон Орловской области от 25.12.2012 г. №1444-ОЗ "Об основах охраны здоровья граждан в Орловской области"</t>
  </si>
  <si>
    <t xml:space="preserve">262                    Пособия по социальной помощи населению </t>
  </si>
  <si>
    <t>Донору в связи с осуществлением безвозмездной донации крови или ее компонентов, в случае экстренного вызова -  15% от действующего на момент сдачи прожиточного минимума на душу населения</t>
  </si>
  <si>
    <t>донация</t>
  </si>
  <si>
    <t xml:space="preserve">3)Постановление Правительства Орловской области от 22.04.2016 № 135 "Об установлении величины прожиточного минимумав на душу населения и по основным социально-деморографическим группам населения в Орловской области за 1 квартал 2016 года. </t>
  </si>
  <si>
    <t>Донорам в связи с осуществлением безвозмездной донации крови или ее компонентов, в в выездных условиях -  10% от действующего на момент сдачи прожиточного минимума на душу населения</t>
  </si>
  <si>
    <t>Субсидия бюджетным и автономным учреждениям здравоохранения по заготовке, переработке, хранению и обеспечению безопасности донорской крови и ее компонентов на предоставление платы донорам за сдачу крови и (или) ее компонентов</t>
  </si>
  <si>
    <t>5936</t>
  </si>
  <si>
    <t>510 010</t>
  </si>
  <si>
    <t xml:space="preserve">Основное мероприятие 2.11."Развитие службы крови"                                                    </t>
  </si>
  <si>
    <t>Мероприятие 2.11.02 Предоставление платы донорам за сдачу крови и (или) ее компонентов</t>
  </si>
  <si>
    <t xml:space="preserve">290                    Пособия по социальной помощи населению </t>
  </si>
  <si>
    <t>Основание: 1)Федеральный закон от 20.07.2012 г. №125-ФЗ "О донорстве крови и ее компонентов"</t>
  </si>
  <si>
    <t xml:space="preserve"> Донору крови, имеющему редкий фенотип, за 1 донацию крови в объеме 450 (+/-10%) мл -  8% от действующего на дату  сдачи прожиточного минимума трудоспособного населения </t>
  </si>
  <si>
    <t>2) Приказ Министерства здравоохранения РФ от 17.12.2012 г. №1069н "Об утверждении случаев, в которых возможна сдача крови и (или) ее компонентов за плату, а также размеров такой платы</t>
  </si>
  <si>
    <t>Доноры плазмы за одну донацию плазмы в объеме 600 (+/-10%) мл -15% от действующего на дату сдачи прожиточного минимума трудоспособного населения</t>
  </si>
  <si>
    <t xml:space="preserve">3)Постановление Правительства Орловской области от 22.04.2016 № 135 "Об установлении величины прожиточного минимумав на душу населения и по основным социально-деморографическим группам населения в Орловской области за 1 квартал 2016 года. Прожиточный минимум на душу трудоспособного населения в Орловской области 
</t>
  </si>
  <si>
    <t>Доноры плазмы за одну донацию тромбоцитов в объеме, содержащем не менее 200х10⁹ клеток тромбоцитов -35% от действующего на дату сдачи прожиточного минимума трудоспособного населения</t>
  </si>
  <si>
    <t>Субсидия бюджетным и автономным учреждениям здравоохранения на увеличение стоимости основных средств</t>
  </si>
  <si>
    <t>0904</t>
  </si>
  <si>
    <t>П 2 2                07 70110</t>
  </si>
  <si>
    <t>530 002</t>
  </si>
  <si>
    <t>Основное мероприятие 2.07. Совершенствование оказания скорой,  в том числе  скорой специализированной, медицинской помощи, медицинской эвакуации</t>
  </si>
  <si>
    <t>БУЗ ОО "ССМП"</t>
  </si>
  <si>
    <t>Мероприятие 2.07.0. Приобретение носилок-кресельных для оборудования автомобилей скорой медицинской помощи</t>
  </si>
  <si>
    <t>Приобретение носилок- кресельных</t>
  </si>
  <si>
    <t>Субсидия бюджетным и автономным учреждениям здравоохранения на обеспечение содержания здания при строительстве многопрофильного медицинского центра БУЗ ОО "Орловская областная клиническая больница"</t>
  </si>
  <si>
    <t>П2 2 09 70110</t>
  </si>
  <si>
    <t>530    010</t>
  </si>
  <si>
    <t xml:space="preserve">Мероприятие 2.09.06 "Текущее содержание многопрофильного медицинского центра                БУЗ ОО "ООКБ" </t>
  </si>
  <si>
    <t>заработная плата и начисления на выплаты по оплате труда</t>
  </si>
  <si>
    <t>отопление</t>
  </si>
  <si>
    <t>техническое обслуживание</t>
  </si>
  <si>
    <t>Субсидия на проведение капитального ремонта в рамках реализации межведомствен-ной инвестиционной программы</t>
  </si>
  <si>
    <t>0901</t>
  </si>
  <si>
    <t>П2 2 09 72320</t>
  </si>
  <si>
    <t>Капитальный ремонкровли главного корпуса и поликлиники БУЗ ОО "Колпнянская ЦРБ"</t>
  </si>
  <si>
    <t>Разработка проектно-сметной документации на модернизацию лифтового хозяйства БУЗ ОО "ООКБ"</t>
  </si>
  <si>
    <t>Разработка проектно-сметной документации на капитальный ремонт помещений первого этажа и входной группы БУЗ ОО "Хотынецкая ЦРБ"</t>
  </si>
  <si>
    <t>Субсидия на ремонт медицинского оборудования</t>
  </si>
  <si>
    <t>530 014</t>
  </si>
  <si>
    <t>БУЗ ОО "Больница скорой медицинской помощи им. Н. А. Семашко"</t>
  </si>
  <si>
    <t>Мероприятие 2.09.  Ремонт станции по производству медицинского кислорода с заменой абсорбционного блока в БУЗ ОО "Больница скорой медицинской помощи им. Н. А. Семашко"</t>
  </si>
  <si>
    <t xml:space="preserve">811 </t>
  </si>
  <si>
    <t>П2 2 01 R3820</t>
  </si>
  <si>
    <t>Основное мероприятие 2.01. Совершенствование оказания медицинской помощи больным туберкулезом</t>
  </si>
  <si>
    <t>БУЗ ОО "Орловский противотуберкулезный диспансер"</t>
  </si>
  <si>
    <t>Мероприятие 2.01.04 Закупка диагностических средств для выявления, определения чувствительности микобактерий туберкулеза и мониторинга лечения лиц, больных туберкулезом с множественной лекарственной устойчивостью возбудителя</t>
  </si>
  <si>
    <t>Приобретение ДСТ</t>
  </si>
  <si>
    <t>18-В02-00003</t>
  </si>
  <si>
    <t>П2 2 02 R3820</t>
  </si>
  <si>
    <t>Основное мероприятие 2.02. Совершенствование оказания медицинской помощи лицам, инфицированным вирусом иммунодефицита человека, гепатитами В и С</t>
  </si>
  <si>
    <t>Мероприятия 2.02.02. Финансовое обеспечение закупок диагностических средств для выявления и мониторинга лечения и лечению лиц, инфицированных вирусами иммунодефицита человека и гепатитов B и C.</t>
  </si>
  <si>
    <t>Финансовое обеспечение закупок диагностических средств для выявления и мониторинга лечения и лечения лиц, инфицированных вирусами иммунодефицита человека и гепатитов B и C</t>
  </si>
  <si>
    <t>БУЗ ОО "Орловская станция переливания крови"</t>
  </si>
  <si>
    <t>Диагностическая иммуноферментная тест-система для одновременного выявления антител к антигенам вируса иммунодефецита человека 1 и 2 типов и антигена ВИЧ 1 (р24) в сыворотке или плазме крови человека для скрининга доноров и верификации ИФА-положительных тестов</t>
  </si>
  <si>
    <t xml:space="preserve">Подпрограмма 4. "Охрана здоровья матери и ребенка" </t>
  </si>
  <si>
    <t>в том числе ВЦП</t>
  </si>
  <si>
    <t>Субсидия на проведение текущего ремонта</t>
  </si>
  <si>
    <t>П2 4 01 70110</t>
  </si>
  <si>
    <t>530 001</t>
  </si>
  <si>
    <t>Основное мероприятие 4.01. Совершенствование службы родовспоможения и детства Орловской области путем дальнейшего формирования трехуровневой системы оказания медицинской помощи, дальнейшего развития первичной медико-санитарной помощи</t>
  </si>
  <si>
    <t>Мероприятие 4.01.04. Проведение текущего ремонта кровли акушерского корпуса БУЗ ОО "НКМЦ им. З. И. Круглой"</t>
  </si>
  <si>
    <t>Субсидия бюджетным и автономным учреждениям здравоохранения на закупки оборудования и расходных материалов для неонатального и аудиологического скрининга в учреждениях государственной системы здравоохранения</t>
  </si>
  <si>
    <t>П2 4 02 72870</t>
  </si>
  <si>
    <t>5902</t>
  </si>
  <si>
    <t>52 П2 14</t>
  </si>
  <si>
    <t>Основное мероприятие 4.02. "Совершенствование ситемы раннего выявления и коррекции нарушений развития ребенка"</t>
  </si>
  <si>
    <t xml:space="preserve">БУЗ ОО "Научно-клинический многопрофильный центр медицинской помощи матерям и детям им. З.И. Круглой"                   </t>
  </si>
  <si>
    <t xml:space="preserve">Мероприятие 4.02.02.  Применение современных методик диагностики и лечения детей. Совершенствование аудиологического скрининга новорожденных, неонатального скрининга на наследственные и врожденные заболевания </t>
  </si>
  <si>
    <t>Субсидия бюджетным и автономным учреждениям здравоохранения на  мероприятия направленные на проведение пренатальной (дородовой) диагностики нарушений развития ребенка</t>
  </si>
  <si>
    <t>П2 4 02 72860</t>
  </si>
  <si>
    <t>5901</t>
  </si>
  <si>
    <t>52 П2 13</t>
  </si>
  <si>
    <t xml:space="preserve">Учреждение:  БУЗ Орловской области "Научно-клинический многопрофильный центр медицинской помощи матерям и детям им. З.И. Круглой"                   </t>
  </si>
  <si>
    <t>Мероприятие 4.02.01.  Применение современных методик диагностики и лечения детей. Организация и совершенствование эффективной комплексной пренатальной (дородовой) диагностики наследственной и врождённой патологии</t>
  </si>
  <si>
    <t>П2 4 04 72320</t>
  </si>
  <si>
    <t>530 004</t>
  </si>
  <si>
    <t>1121</t>
  </si>
  <si>
    <t>Основное мероприятие 4.04. Развитие специализированной медицинской помощи детям, включая дооснащение подразделений БУЗ ОО «НКМЦ им. З. И. Круглой» современным оборудованием  и аппаратурой</t>
  </si>
  <si>
    <t>Мероприятие 4.04.03. Мероприятие Переоснащение автономного электроснабжения</t>
  </si>
  <si>
    <t>Переоснащение автономного электроснабжения БУЗ ОО "НКМЦ им. З. И. Круглой" по адресу: г. Орел, ул. Октябряская, д.4</t>
  </si>
  <si>
    <t>Переоснащение автономного электроснабжения БУЗ ОО "НКМЦ им. З. И. Круглой" по адресу: г. Орел, ул. Лескова, д.31</t>
  </si>
  <si>
    <t>Субсидия бюджетным и автономным учреждениям на обеспечение полноценным питанием беременных женщин, кормящих матерей, а также детей в возрасте до трех лет</t>
  </si>
  <si>
    <t>1004</t>
  </si>
  <si>
    <t>П2 4 07 72560</t>
  </si>
  <si>
    <t>5695</t>
  </si>
  <si>
    <t>510 002</t>
  </si>
  <si>
    <t>Основное мероприятие 07. "Обеспечение  беременных и детей раннего возраста поноценным питанием"</t>
  </si>
  <si>
    <t>340/7520 "Питание"</t>
  </si>
  <si>
    <t>БУЗ ОО "Городская больница им.СП.Боткина"</t>
  </si>
  <si>
    <t>Мероприятие 4.07.01. Обеспечение полноценным питанием беременных женщин, кормящих матерей, а также детей в возрасте до трех лет</t>
  </si>
  <si>
    <t>чел.</t>
  </si>
  <si>
    <t>чел</t>
  </si>
  <si>
    <t>БУЗ ОО "Нарышкинская ЦРБ"</t>
  </si>
  <si>
    <t>Субсидия на проведение текущего ремонта, производимого учреждением хозяйственным способом</t>
  </si>
  <si>
    <t>П2 4 04 70110</t>
  </si>
  <si>
    <t>530 011</t>
  </si>
  <si>
    <t xml:space="preserve">Мероприятие 4.04.04. Проведение текущего ремонта, производимого хозяйственным способом </t>
  </si>
  <si>
    <t>Вентилятор канальный</t>
  </si>
  <si>
    <t>Клапан воздушный с электроприводом</t>
  </si>
  <si>
    <t>Шумоглушитель</t>
  </si>
  <si>
    <t>Канальный нагреватель воздуха</t>
  </si>
  <si>
    <t>Щит автоматики</t>
  </si>
  <si>
    <t>Гибкая вставка</t>
  </si>
  <si>
    <t>Фильтр-бокс</t>
  </si>
  <si>
    <t>ВРУ</t>
  </si>
  <si>
    <t>Щит</t>
  </si>
  <si>
    <t>ВЦП «Развитие материально-технической базы детских поликлиник и детских поликлинических отделений медицинских организаций Орловской области»</t>
  </si>
  <si>
    <t>Субсидии на софинансирова-ние государственных программ субъектов Российской Федерации, содержащих мероприятия по развитию материально-технической базы детских поликлиник и детских поликлинических отделений медицинских организаций, за счет средств резервного фонда Правительства Российской Федерации</t>
  </si>
  <si>
    <t>П2 Д 02 R6740</t>
  </si>
  <si>
    <t>18-B91</t>
  </si>
  <si>
    <t xml:space="preserve">М ВЦП 4.1.2. Реализация организационно-планировочных решений внутренних пространств, обеспечивающих комфортность пребывания детей в детских поликлиниках и детских поликлинических отделениях медицинских организаций </t>
  </si>
  <si>
    <t xml:space="preserve">Подпрограмма 5. "Развитие медицинской реабилитации и санаторно-курортного лечения, в том числе детям " </t>
  </si>
  <si>
    <t>Субсидия бюджетным и автономным учреждениям здравоохранения на содержание и подготовку к оздоровительной кампании</t>
  </si>
  <si>
    <t>0905</t>
  </si>
  <si>
    <t>П2 5 02 70110</t>
  </si>
  <si>
    <t>5908</t>
  </si>
  <si>
    <t>52 П 2 15</t>
  </si>
  <si>
    <t>Основное мероприятие 5.02.                             "Развитие санаторно-курортного лечения, в том числе детям"</t>
  </si>
  <si>
    <t>БУЗ ОО "Детский санаторий Орловчанка"</t>
  </si>
  <si>
    <r>
      <t xml:space="preserve">Мероприятие 5.02.01.                                                           </t>
    </r>
    <r>
      <rPr>
        <sz val="16"/>
        <rFont val="Times New Roman"/>
        <family val="1"/>
        <charset val="204"/>
      </rPr>
      <t xml:space="preserve">  Содержание и подготовка к оздоровительной кампании</t>
    </r>
  </si>
  <si>
    <t>заработная плата</t>
  </si>
  <si>
    <t>Генеральный директор</t>
  </si>
  <si>
    <t>Заместитель генерального директора по воспитательной работе</t>
  </si>
  <si>
    <t>Секретарь</t>
  </si>
  <si>
    <t>Специалист по кадрам</t>
  </si>
  <si>
    <t>Главный бухгалтер</t>
  </si>
  <si>
    <t>Заместитель главного бухгалтера</t>
  </si>
  <si>
    <t>Экономист</t>
  </si>
  <si>
    <t>Бухгалтер</t>
  </si>
  <si>
    <t>Заведующий складом твердого инвентаря</t>
  </si>
  <si>
    <t>Водитель автомобиля</t>
  </si>
  <si>
    <t>Инженер-электрик</t>
  </si>
  <si>
    <t>Электромонтер по ремонту и обслуживанию электрооборудования</t>
  </si>
  <si>
    <t>Заместитель директора по АХЧ</t>
  </si>
  <si>
    <t>Оператор котельной</t>
  </si>
  <si>
    <t>Плотник</t>
  </si>
  <si>
    <t>Слесарь-сантехник</t>
  </si>
  <si>
    <t>Уборщик служебных помещений</t>
  </si>
  <si>
    <t>Дворник</t>
  </si>
  <si>
    <t>Сторож</t>
  </si>
  <si>
    <t>Директор филиала СОЛ "Мечта"</t>
  </si>
  <si>
    <t>Заведующий складом твердого инвентаря сол "Мечта"</t>
  </si>
  <si>
    <t>Сторож сол "Мечта"</t>
  </si>
  <si>
    <t>страховые взносы 30,2%</t>
  </si>
  <si>
    <t>коммунальные услуги,    в т.ч.</t>
  </si>
  <si>
    <t>поставка природного газа; транспортировка газа; снабженческо-сбытовые услуги</t>
  </si>
  <si>
    <t>тыс. м. куб.</t>
  </si>
  <si>
    <t>покупка электрической энергии</t>
  </si>
  <si>
    <t>тыс.квтчас</t>
  </si>
  <si>
    <t>прочие услуги</t>
  </si>
  <si>
    <t>Мероприятие 5.02.02.                                                             Приобретение автобуса</t>
  </si>
  <si>
    <t>Подпрограмма 6  «Оказание паллиативной помощи, в том числе детям»</t>
  </si>
  <si>
    <t>Субсидии бюджетным учреждениям на иные цели</t>
  </si>
  <si>
    <t xml:space="preserve">П2 6 01 70110 </t>
  </si>
  <si>
    <t>Основное мероприятие 6.01. "Организация  оказания паллиативной помощи, в том числе детям"</t>
  </si>
  <si>
    <t>Мероприятие 6.01.03. Укрепление материально-технической базы учреждения</t>
  </si>
  <si>
    <t>Подпрограмма 7. "Кадровое обеспечение системы здравоохранения"</t>
  </si>
  <si>
    <t>Социальное обеспечение и иные выплаты населению</t>
  </si>
  <si>
    <t xml:space="preserve">П2 7 01 71660 </t>
  </si>
  <si>
    <t>360</t>
  </si>
  <si>
    <t>7510</t>
  </si>
  <si>
    <t>Основное мероприятие 7.01. "Совершенствование системы целевой контрактной подготовки молодых специалистов"</t>
  </si>
  <si>
    <t>290/7510 "Стипендии"</t>
  </si>
  <si>
    <t>Мероприятие 7.01.01.  "Установление доплаты к стипендиям ординаторам, заключивших договора на целевую подготовку с учреждениями здравоохранения Орловской области с 1 сентября 2017 года</t>
  </si>
  <si>
    <t>Субсидия бюджетным и автономым учреждениям на реализацию подпрограммы "Кадровое обеспечение системы здравоохране-ния"</t>
  </si>
  <si>
    <t>П2 7  02 71660</t>
  </si>
  <si>
    <t>5440</t>
  </si>
  <si>
    <t>52 П2 11</t>
  </si>
  <si>
    <t>Основное мероприятие 7.02.                          "Повышение квалификации и переподготовка медицинских и фармацевтических работников"</t>
  </si>
  <si>
    <t>226 "Прочие услуги, работы"</t>
  </si>
  <si>
    <t>БУЗ ОО  "Мценская центральная районная больница"</t>
  </si>
  <si>
    <t>Мероприятие 7.02.01. Подготовка специалистов для учреждений здравоохранения Орловской области по наиболее востребованным специальностям в клинической ординатуре, переподготовка и повышение квалификации медицинских работников по социально значимым специальностям</t>
  </si>
  <si>
    <r>
      <t xml:space="preserve">врач-дерматовенеролог-1чел*20000;                       </t>
    </r>
    <r>
      <rPr>
        <b/>
        <sz val="16"/>
        <rFont val="Times New Roman"/>
        <family val="1"/>
        <charset val="204"/>
      </rPr>
      <t xml:space="preserve">                               </t>
    </r>
  </si>
  <si>
    <t>БУЗ ОО "Орловский противотуберку-лезный диспансер"</t>
  </si>
  <si>
    <r>
      <t xml:space="preserve">2018 год </t>
    </r>
    <r>
      <rPr>
        <sz val="16"/>
        <rFont val="Times New Roman"/>
        <family val="1"/>
        <charset val="204"/>
      </rPr>
      <t xml:space="preserve"> Бактериология 1*12000=12000, пульмонология - 1*12000=12000; организация здравоохранения 2*18000=36000; стоматология 1*25000=25000; урология - 1*17000=17000; фтизиатрия 1*12000=12000; физиотерапия - 1*14000=14000; управление и экономика фармации -1*4000=4000,                        </t>
    </r>
  </si>
  <si>
    <r>
      <rPr>
        <b/>
        <sz val="16"/>
        <rFont val="Times New Roman"/>
        <family val="1"/>
        <charset val="204"/>
      </rPr>
      <t>2019 год</t>
    </r>
    <r>
      <rPr>
        <sz val="16"/>
        <rFont val="Times New Roman"/>
        <family val="1"/>
        <charset val="204"/>
      </rPr>
      <t xml:space="preserve">   Терапия - 1*12000; торакальная хирургия 1*18000=18000; фтизиатрия 2*12000=24000; эпидемиология - 1*12000=12000;  аккредитация врачей - 53*6000= 318000</t>
    </r>
  </si>
  <si>
    <r>
      <rPr>
        <b/>
        <sz val="16"/>
        <rFont val="Times New Roman"/>
        <family val="1"/>
        <charset val="204"/>
      </rPr>
      <t>2020 год</t>
    </r>
    <r>
      <rPr>
        <sz val="16"/>
        <rFont val="Times New Roman"/>
        <family val="1"/>
        <charset val="204"/>
      </rPr>
      <t xml:space="preserve"> фтизиатрия - 1*12000=12000, анестезиология-реаниматология - 2*15000=30000, рентгенология - 3*15000=45000, фармацевтическая технология - 2*4000=8000, фармацевтическая химия и фармакогнозия - 1*4000=4000, аккредитация врачей - 58*6000=348000                      </t>
    </r>
  </si>
  <si>
    <t>БУЗ ОО "Орловский онкологический диспансер"</t>
  </si>
  <si>
    <t xml:space="preserve">"Паллиативная мед.помощь" </t>
  </si>
  <si>
    <t>БУЗ ОО "Орловский наркологический диспансер"</t>
  </si>
  <si>
    <t>Врач-нарколог - 3 чел.</t>
  </si>
  <si>
    <t>БУЗ ОО "Орловская областная психиатрическая больница"</t>
  </si>
  <si>
    <t>Повышение квалификации по специальности "Фармация,химия и фармакогнозия" 1 чел.*6500 руб. = 6500 руб.</t>
  </si>
  <si>
    <t xml:space="preserve">медицинская и судебная психология - 1 чел.; инфекционные болезни - 1 чел.; терапия - 1 чел.; детская и подростковая психиатрия - 1 чел.; организация паллиативной помощи населению - 1 чел.; паллиативная медицинская помощь - 4 чел. </t>
  </si>
  <si>
    <t>повышение квалификации по специальности "Экспертиза временной нетрудоспособности" 11чел.*4000руб.=44000руб</t>
  </si>
  <si>
    <t xml:space="preserve">повышение квалификации по специальности "Инфекционные болезни" 1 чел.*14000руб.=14000руб., </t>
  </si>
  <si>
    <t>повышение квалификации по специальности "Инфекционные болезни" 1 чел.*14000руб.=14000руб.,</t>
  </si>
  <si>
    <t xml:space="preserve"> повышение квалификации по специальности "Неврология" 1чел.*14000руб.=14000руб.</t>
  </si>
  <si>
    <t xml:space="preserve">повышение квалификации по специальности "Психиатрия" 16 чел.*14000руб.=224000руб., </t>
  </si>
  <si>
    <t xml:space="preserve">повышение квалификации по специальности "КДЛ" 1чел.*14000руб.=14000руб., </t>
  </si>
  <si>
    <t xml:space="preserve">повышение квалификации по специальности "Медицинская и судебная психология" 2чел.*20000руб.=40000руб., </t>
  </si>
  <si>
    <t xml:space="preserve">повышение квалификации по специальности "Судебная психология" 1чел.*20000руб.=20000руб., </t>
  </si>
  <si>
    <t>повышение квалификации по специальности "Эпидемиология" 1чел.*8000руб.=8000руб</t>
  </si>
  <si>
    <t>повышение квалификации по специальности "Психотерапия" 1чел.*17600руб.=17600руб.</t>
  </si>
  <si>
    <t>повышение квалификации по специальности "Судебно-психиатрическая экспертиза" 5чел.*20000руб.=100000руб</t>
  </si>
  <si>
    <t>повышение квалификации по специальности "Организация работы с наркотическими средствами,психотропными веществами и их прекурсорами" 1чел.*3000руб.=3000руб</t>
  </si>
  <si>
    <t xml:space="preserve">повышение квалификации по специальности "Психиатрия-наркология" 1чел.*24000руб.=24000руб., </t>
  </si>
  <si>
    <t>повышение квалификации по специальности "Организация здравоохранения и общественное здоровье" 2чел.*8000руб.=16000руб</t>
  </si>
  <si>
    <t>повышение квалификации по специальности "Стоматология общей практики" 1чел.*20000руб.=20000руб</t>
  </si>
  <si>
    <t>повышение квалификации по специальности "Логопедия" 1чел.*5000 руб.=5000руб.</t>
  </si>
  <si>
    <t>повышение квалификации по специальности "Функциональная диагностика" 1чел.*14000руб.=14000руб.,4чел.*12000руб.=48000руб</t>
  </si>
  <si>
    <t xml:space="preserve">повышение квалификации по специальности "Медицинская психология" 1чел.*20000руб.=20000руб., </t>
  </si>
  <si>
    <t>повышение квалификации по специальности "Диетология" 3чел.*14000руб.=42000руб.,</t>
  </si>
  <si>
    <t>повышение квалификации по специальности "Лабораторная диагностика" 4чел.*6400руб.=25600руб</t>
  </si>
  <si>
    <t>повышение квалификации по специальности "Ультразвуковая диагностика" 1чел.*8000руб.=8000руб.</t>
  </si>
  <si>
    <t xml:space="preserve"> повышение квалификации по специальности "Сестринское дело в офтальмологии" 1чел.*6400руб.=6400руб</t>
  </si>
  <si>
    <t xml:space="preserve">повышение квалификации по специальности "Сестринское дело в ЦСО" 1чел.*6400руб.=6400руб., </t>
  </si>
  <si>
    <t>повышение квалификации по специальности "Рентгенология" 2чел.*6400руб.=12800руб.,</t>
  </si>
  <si>
    <t xml:space="preserve"> повышение квалификации по специальности "Физиотерапия" 1чел.*8000руб.=8000руб</t>
  </si>
  <si>
    <t>повышение квалификации по специальности "Оториноларингология" 1чел.*6400руб.=6400руб</t>
  </si>
  <si>
    <t>повышение квалификации по специальности "Управление и экономика здравоохранения" 1чел.*8000руб.=8000руб.</t>
  </si>
  <si>
    <t xml:space="preserve"> БУЗ ОО "Областной психоневрологи-ческий диспансер"</t>
  </si>
  <si>
    <t xml:space="preserve">Обучение по профилю: психиатрия- 7х15200, </t>
  </si>
  <si>
    <t>БУЗ ОО "Орловский областной врачебно-физкультурный диспансер"</t>
  </si>
  <si>
    <r>
      <t xml:space="preserve">Повышение квалификации  по специальности лечебная физкультура и спортивная медицина (2018г: обучение 1 человека - 15 000, </t>
    </r>
    <r>
      <rPr>
        <b/>
        <sz val="16"/>
        <rFont val="Times New Roman"/>
        <family val="1"/>
        <charset val="204"/>
      </rPr>
      <t>2019г</t>
    </r>
    <r>
      <rPr>
        <sz val="16"/>
        <rFont val="Times New Roman"/>
        <family val="1"/>
        <charset val="204"/>
      </rPr>
      <t xml:space="preserve">: обучение 1 человека - 17 000, </t>
    </r>
    <r>
      <rPr>
        <b/>
        <sz val="16"/>
        <rFont val="Times New Roman"/>
        <family val="1"/>
        <charset val="204"/>
      </rPr>
      <t xml:space="preserve">2020г. </t>
    </r>
    <r>
      <rPr>
        <sz val="16"/>
        <rFont val="Times New Roman"/>
        <family val="1"/>
        <charset val="204"/>
      </rPr>
      <t>- обучение 10 человек*16 000 = 160 000</t>
    </r>
  </si>
  <si>
    <t>БУЗ ОО"Новосильская  ЦРБ"</t>
  </si>
  <si>
    <t>БУЗ ОО"Ливенская  ЦРБ"</t>
  </si>
  <si>
    <t>профессиональная переподготовка по спортивной медицине 1 чел.</t>
  </si>
  <si>
    <r>
      <t xml:space="preserve">Сертификационный цикл усовершенствования:1врач по "Организации здравоохранения" в </t>
    </r>
    <r>
      <rPr>
        <b/>
        <sz val="16"/>
        <rFont val="Times New Roman"/>
        <family val="1"/>
        <charset val="204"/>
      </rPr>
      <t>2019г</t>
    </r>
    <r>
      <rPr>
        <sz val="16"/>
        <rFont val="Times New Roman"/>
        <family val="1"/>
        <charset val="204"/>
      </rPr>
      <t xml:space="preserve">.,2врача "скорая медицинская помощь",1врач "Педиатрия" в </t>
    </r>
    <r>
      <rPr>
        <b/>
        <sz val="16"/>
        <rFont val="Times New Roman"/>
        <family val="1"/>
        <charset val="204"/>
      </rPr>
      <t>2020г</t>
    </r>
    <r>
      <rPr>
        <sz val="16"/>
        <rFont val="Times New Roman"/>
        <family val="1"/>
        <charset val="204"/>
      </rPr>
      <t xml:space="preserve">.Стоимость обучения 15000руб. </t>
    </r>
  </si>
  <si>
    <t>БУЗ ОО "Больница скорой медицинской помощи им. Семашко"</t>
  </si>
  <si>
    <t>2018 г. повышение квалификации врач-невролог</t>
  </si>
  <si>
    <t>БУЗ Орловской области "Знаменская ЦРБ"</t>
  </si>
  <si>
    <t xml:space="preserve">обучение по программе "паллиативная помощь" врач 1 чел.*12000; </t>
  </si>
  <si>
    <t>БУЗ ОО"Кромская  ЦРБ"</t>
  </si>
  <si>
    <t>БУЗ ОО"Орловский центр СПИД"</t>
  </si>
  <si>
    <r>
      <rPr>
        <b/>
        <sz val="16"/>
        <rFont val="Times New Roman"/>
        <family val="1"/>
        <charset val="204"/>
      </rPr>
      <t>2018 г</t>
    </r>
    <r>
      <rPr>
        <sz val="16"/>
        <rFont val="Times New Roman"/>
        <family val="1"/>
        <charset val="204"/>
      </rPr>
      <t>. повышение квалификации врач-невролог</t>
    </r>
  </si>
  <si>
    <t>БУЗ ОО "Орловский областной кожно-венерологический диспансер"</t>
  </si>
  <si>
    <r>
      <t xml:space="preserve">врачи дерматовенерологи                                                                              </t>
    </r>
    <r>
      <rPr>
        <b/>
        <sz val="18"/>
        <rFont val="Times New Roman"/>
        <family val="1"/>
        <charset val="204"/>
      </rPr>
      <t/>
    </r>
  </si>
  <si>
    <t>БУЗ ОО"Колпнянская   ЦРБ"</t>
  </si>
  <si>
    <t>Фтизиатрия, психиатрия, дерматовенерология</t>
  </si>
  <si>
    <t>БУЗ ОО "НКМЦ им. З. И. КРУГЛОЙ"</t>
  </si>
  <si>
    <t>Инфекционные белезни, клиническая лабораторная диагностика, гематология</t>
  </si>
  <si>
    <t>психиатрия</t>
  </si>
  <si>
    <t>БУЗ ОО "Городская больница им. С. П. Боткина</t>
  </si>
  <si>
    <t>П2 7  03 71660</t>
  </si>
  <si>
    <t>Основное мероприятие 7.03. "Повышение престижа медицинских специальностей"</t>
  </si>
  <si>
    <t xml:space="preserve">Мероприятие 7.03.01. "Установление выплат стимулирующего характера по итогам конкурса " Лучший врач"  </t>
  </si>
  <si>
    <t>П2 7  04 71660</t>
  </si>
  <si>
    <t>Основное мероприятие 7.04. "Социальная поддержка отдельных категорий медицинских работников"</t>
  </si>
  <si>
    <t xml:space="preserve">Мероприятие 7.04.01. "Установление надбавки стимулирующего характера в размере 12% от должностного оклада по НСОТ (с 01.01.2017г.)  по основной должности  (без учета внешнего и внутреннего совместительства),    врачам-эндоскопистам, врачам сурдологам-оторингологам, врачам-патологоанатомам, врачам клинической лабораторной диагностики, врачам рентгенологам, врачам анестезиологам-реаниматологам, врачам-неонатологам, врачам-генетикам, врачам-бактериологам в учреждениях здравоохранения, оказывающих первичную медико-санитарную помощь, специализированную, в том числе высокотехнологичную, медицинскую помощь, в том числе специализированную медицинскую помощь"  </t>
  </si>
  <si>
    <t>всего</t>
  </si>
  <si>
    <t>ИТОГО по КОСГУ 211</t>
  </si>
  <si>
    <t>ИТОГО по КОСГУ 213</t>
  </si>
  <si>
    <t xml:space="preserve">   БУЗ ОО " Больница скорой медицинской помощи им. Семашко"</t>
  </si>
  <si>
    <t>врач анестезиолог-реаниматолог - 18 чел.; врач клинической лабораторной диагностики - 2 чел., врач патологоанатом - 1 чел., врач рентгенолог - 6 чел.</t>
  </si>
  <si>
    <t xml:space="preserve">   БУЗ ОО " Городская больница им. С.П.Боткина"</t>
  </si>
  <si>
    <t xml:space="preserve">врач анестезиолог-реаниматолог - 10 чел., 
врач бактериолог -          1 чел., 
врач КДЛ - 6 чел., 
врач-неонатолог -            3 чел., 
врач патологоанатом - 3 чел., 
врач рентгенолог -            4 чел., .
врач эндоскопист -           3 чел.
</t>
  </si>
  <si>
    <t xml:space="preserve">   БУЗ Орловской области  "Поликлиника №1"</t>
  </si>
  <si>
    <t>врач-рентгенолог -               1 чел.;                      врач КЛД - 0,5 чел.; врач-эндоскопист -                1  чел.</t>
  </si>
  <si>
    <t xml:space="preserve">   БУЗ Орловской области  "Поликлиника №2"</t>
  </si>
  <si>
    <t>врач-эндоскопист - 1 чел.; врач-КЛД-2 чел.; врач -рентгенолог-             2 чел.;                                   врач -бактериолог-              2 чел.</t>
  </si>
  <si>
    <t xml:space="preserve">   БУЗ Орловской области  "Поликлиника № 3"</t>
  </si>
  <si>
    <t xml:space="preserve">врач КДЛ - 2 чел.; врач-эндоскопист-              2 чел.;  врач-рентгенолог 4 чел. </t>
  </si>
  <si>
    <t>БУЗ Орловской области  "Поликлиника № 5"</t>
  </si>
  <si>
    <t>Врач-эндоскопист - 1 чел.</t>
  </si>
  <si>
    <t xml:space="preserve">   БУЗ ОО "Детская поликлиника № 1"</t>
  </si>
  <si>
    <t xml:space="preserve">врач рентгенолог -         2 чел.  </t>
  </si>
  <si>
    <t xml:space="preserve">   БУЗ ОО "Детская поликлиника № 2"</t>
  </si>
  <si>
    <t>врач бактериолог -          2 чел., врач КЛД -             1 чел., врач рентгенолог - 1 чел.</t>
  </si>
  <si>
    <t xml:space="preserve">   БУЗ ОО  "Родильный дом"</t>
  </si>
  <si>
    <t>Врач КДЛ - 2 чел.;         Врач неонатолог -                  3 чел.;                                                                      Врач рентгенолог -                2 чел.;                                                                              Врач анестезиолог реаниматолог - 8 чел.</t>
  </si>
  <si>
    <t xml:space="preserve">   БУЗ ОО "Ливенская центральная районная больница"</t>
  </si>
  <si>
    <t xml:space="preserve">врач-анестезиолог-реаниматолог - 7 чел., врач КЛД - 7 чел.,              врач-бактериолог -              1 чел.,                                         врач-патологоанатом - 1 чел.,                                 врач-эндоскопист  -        1 чел.,                           врач-неонатолог -              3 чел.,                                          врач-рентгенолог -            3 чел. </t>
  </si>
  <si>
    <t xml:space="preserve">   БУЗ ОО  "Мценская центральная районная больница"</t>
  </si>
  <si>
    <t xml:space="preserve"> врач анестезиолог-реаниматолог- 8 чел.,  врач-бактериолог -              2 чел.;                               врач клинической лабораторной диагностики -3 чел.;  врач-неонатолог -               1 чел.;  врач рентгенолог-3 чел.;</t>
  </si>
  <si>
    <t xml:space="preserve">   БУЗ ОО  "Болховская центральная районная больница"</t>
  </si>
  <si>
    <t xml:space="preserve">врач анестезиолог-реаниматолог - 1 чел.; врач-рентгенолог -               1 чел. </t>
  </si>
  <si>
    <t xml:space="preserve">   БУЗ ОО  "Верховская центральная районная больница"</t>
  </si>
  <si>
    <t xml:space="preserve">врач-эндоскопист - 1чел.;                                   врач-рентгенолог -               1 чел </t>
  </si>
  <si>
    <t xml:space="preserve">   БУЗ ОО  "Глазуновская центральная районная больница"</t>
  </si>
  <si>
    <t>врач анестезиолог-реаниматолог - 1 чел.;    врач КЛД - 1 чел.;</t>
  </si>
  <si>
    <t xml:space="preserve">   БУЗ ОО  "Дмитровская центральная районная больница"</t>
  </si>
  <si>
    <t>врач  КДЛ  - 1 чел.</t>
  </si>
  <si>
    <t xml:space="preserve">   БУЗ ОО  "Должанская центральная районная больница"</t>
  </si>
  <si>
    <t xml:space="preserve">врач КЛД - 2 чел., </t>
  </si>
  <si>
    <t xml:space="preserve">   БУЗ ОО  "Колпнянская центральная районная больница"</t>
  </si>
  <si>
    <t xml:space="preserve">врач анестезиолог-реаниматолог - 2 чел.; 
врач КДЛ -2 чел.; врач рентгенолог - 1 чел.
</t>
  </si>
  <si>
    <t xml:space="preserve">   БУЗ ОО  "Краснозоренская центральная районная больница"</t>
  </si>
  <si>
    <t>врач-ренгенолог 1 чел. (12100,0 руб.)</t>
  </si>
  <si>
    <t xml:space="preserve">   БУЗ ОО  "Кромская центральная районная больница"</t>
  </si>
  <si>
    <t xml:space="preserve"> врач анестезиолог-раниматолог - 2 чел.; врач-бактериолог - 1 чел.</t>
  </si>
  <si>
    <t xml:space="preserve">   БУЗ ОО "Малоархангельская центральная районная больница"</t>
  </si>
  <si>
    <t>врач-ренгенолог -                 1 чел.</t>
  </si>
  <si>
    <t xml:space="preserve">   БУЗ ОО  "Новодеревеньковская  центральная районная больница"</t>
  </si>
  <si>
    <t xml:space="preserve">вр. анестезиолог-реаниматолог - 1 чел.;  врач-КЛД - 1 чел.;            врач -рентгенолог -               1 чел. </t>
  </si>
  <si>
    <t xml:space="preserve">   БУЗ ОО  "Плещеевская  центральная районная больница "</t>
  </si>
  <si>
    <t xml:space="preserve">Врач анестезиолог-реаниматолог - 1 чел.; врач КЛД - 4 чел.; врач рентгенолог -          4 чел; врач-эндоскопист -1 чел. </t>
  </si>
  <si>
    <t xml:space="preserve">   БУЗ ОО "Свердловская  центральная районная больница"</t>
  </si>
  <si>
    <t xml:space="preserve">Врач-эндоскопист 1,0 </t>
  </si>
  <si>
    <t>БУЗ ОО "Троснянская центральная районная больница"</t>
  </si>
  <si>
    <t xml:space="preserve"> врач-эндоскопист -1 чел.</t>
  </si>
  <si>
    <t>БУЗ ОО  "Нарышкинская центральная районная больница"</t>
  </si>
  <si>
    <t xml:space="preserve">Врач-бактериолог -  1 чел.,                                                   Врач ренгенолог -                     1 чел. </t>
  </si>
  <si>
    <t xml:space="preserve">   БУЗ ОО  "Хотынецкая центральная районная больница"</t>
  </si>
  <si>
    <t xml:space="preserve"> Врач анестезиолог-реаниматолог - 1 чел. </t>
  </si>
  <si>
    <t xml:space="preserve">   БУЗ ОО "Шаблыкинская центральная районная больница"</t>
  </si>
  <si>
    <t xml:space="preserve">Врач рентгенолог  -             1 чел.                  </t>
  </si>
  <si>
    <t xml:space="preserve">   БУЗ ОО"Орловская областная клиническая больница"</t>
  </si>
  <si>
    <t>Врач анестезиолог-реаниматолог -                    43 чел.;
вр.клинич.лаборатор.диагностики - 6 чел.;
врач патологоанатом -  4 чел.;
врач рентгенолог -            17 чел;
врач эндоскопист -          4 чел.;
врач-сурдолог-оториноларинголог -            1 чел.</t>
  </si>
  <si>
    <t xml:space="preserve">  БУЗ Орловской области "Научно-клинический многопрофильный центр медицинской помощи матерям и детям им. З.И. Круглой"               </t>
  </si>
  <si>
    <t>Врач анестезиолог-реаниматолог - 27 чел.; врач неонатолог -                 11 чел.;                              врач эндоскопист -                2 чел.; врач-бактериолог - 1 чел.; Врач КЛД - 8 чел.; Врач сурдолог-оторинголог - 1 чел.;   Врач ренгенолог -              9 чел.; врач-генетик -     5 чел.</t>
  </si>
  <si>
    <t>Врач анестезиолог-реан 15ч+врач неонатолог 8ч (14100 руб.), Врач-генетик 3ч + Врач КЛД  4 чел. (12100 руб.)</t>
  </si>
  <si>
    <t xml:space="preserve">   БУЗ ОО "Орловский областной кожно-венерологический диспансер"</t>
  </si>
  <si>
    <t xml:space="preserve">Врач КЛД - 4 чел. </t>
  </si>
  <si>
    <t xml:space="preserve">   БУЗ ОО "Орловский противотуберкулезный диспансер"</t>
  </si>
  <si>
    <t>Врач-анестезиолог реаниматолог -5 чел.; врач-эндескопист -                 1 чел.;                              врач-рентгенолог -                  5 чел.;                                     врач КЛД - 2 чел.; врач-бактериолог -                2 чел.:</t>
  </si>
  <si>
    <t xml:space="preserve">   БУЗ ОО "Орловский онкологический диспансер"</t>
  </si>
  <si>
    <t>Врач - рентгенолог - 4чел.;                                врач - патологоанатом -  2чел.;                                      врач-анестезиолог -реаниматолог - 7 чел., врач клинической лабораторной  диагностики - 4 чел., врач - эндоскопист - 3 чел.;</t>
  </si>
  <si>
    <t xml:space="preserve">   БУЗ ОО "Орловский наркологический диспансер"</t>
  </si>
  <si>
    <t>1 врач-анестезиолог-реаниматолог - 1 чел.;                                                                           1 врач КЛД - 1 чел.</t>
  </si>
  <si>
    <t xml:space="preserve">   БУЗ ОО "Орловская областная психиатрическая больница"</t>
  </si>
  <si>
    <t>Врач  КДЛ - 1 чел.</t>
  </si>
  <si>
    <t>Мероприятие 7.04.02. "Установление надбавки стимулирующего характера к должностному окладу врачам-педиатрам дошкольно-школьных отделений учреждений здравоохранения Орловской области, в разрезе 5000 руб.</t>
  </si>
  <si>
    <t>211 "Заработная плата"</t>
  </si>
  <si>
    <t>213 "Начисление на заработную плату"</t>
  </si>
  <si>
    <t>БУЗ ОО " Городская больница им. С.П.Боткина"</t>
  </si>
  <si>
    <t xml:space="preserve"> БУЗ ОО "Детская поликлиника № 3"</t>
  </si>
  <si>
    <t>БУЗ ОО "Детская поликлиника № 2"</t>
  </si>
  <si>
    <t>БУЗ ОО "Детская поликлиника № 1"</t>
  </si>
  <si>
    <t>Мероприятие 7.04.03. "Возмещение расходов за найм жилого помещения молодым специалистам, трудоустроившимся в сельской местности, в центральных районных больницах, расположенных в городах, поселках городского типа и обслуживающих сельское население" в размере 5 000,0 руб.</t>
  </si>
  <si>
    <t>212               Прочие выплаты</t>
  </si>
  <si>
    <t xml:space="preserve"> БУЗ ОО  "Верховская  центральная районная больница"</t>
  </si>
  <si>
    <t xml:space="preserve"> БУЗ ОО  "Корсаковская центральная районная больница"</t>
  </si>
  <si>
    <t xml:space="preserve"> БУЗ ОО  "Новосильская  центральная районная больница"</t>
  </si>
  <si>
    <t>БУЗ ОО  "Колпнянская центральная районная больница"</t>
  </si>
  <si>
    <t>БУЗ ОО "Ливенская центральная районная больница"</t>
  </si>
  <si>
    <t xml:space="preserve">2019г = 4чел*5000*8мес=160 000,0 руб., 3чел*5000*4мес=6000; </t>
  </si>
  <si>
    <t>2020г = 3чел*5000*8мес=120 000 руб., 3чел*5000*4мес=60000 руб.</t>
  </si>
  <si>
    <t>П2 7 04 70110</t>
  </si>
  <si>
    <t xml:space="preserve">Основное мероприятие 7.04.                     "Обеспечение деятельности (оказание услуг) государственных учреждений" </t>
  </si>
  <si>
    <t>БУЗ ОО "ООПБ"</t>
  </si>
  <si>
    <r>
      <rPr>
        <b/>
        <sz val="16"/>
        <rFont val="Times New Roman"/>
        <family val="1"/>
        <charset val="204"/>
      </rPr>
      <t xml:space="preserve">Мероприятие 7.04.05. </t>
    </r>
    <r>
      <rPr>
        <sz val="16"/>
        <rFont val="Times New Roman"/>
        <family val="1"/>
        <charset val="204"/>
      </rPr>
      <t>Предоставление мер социальной поддержки по оплате жилого помещения и коммунальных услуг специалистам организаций здравоохранения, работающим и проживающим в сельской местности и поселках городского типа</t>
    </r>
  </si>
  <si>
    <t>БУЗ ОО "Орловское бюро судебно-медицинской экспертизы"</t>
  </si>
  <si>
    <t>БУЗ ОО "Глазуновского ЦРБ"</t>
  </si>
  <si>
    <t>БУЗ ОО " Должанская ЦРБ"</t>
  </si>
  <si>
    <t>БУЗ ОО  "Колпнянская ЦРБ"</t>
  </si>
  <si>
    <t>БУЗ ОО " Новодеревеньковская ЦРБ"</t>
  </si>
  <si>
    <t>Субсидия бюджетным и автономым учреждениям здравоохранения на единовременные компенсацион-ные выплаты медицинским работникам  за счет средств областного бюджета</t>
  </si>
  <si>
    <t>П2 7 04 R3820</t>
  </si>
  <si>
    <t>5997</t>
  </si>
  <si>
    <t>18-В02-00001</t>
  </si>
  <si>
    <t>Мероприятие 7.04.04. Единовременные компенсационные выплаты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 в размере 400 000,0 рублей врачам специалистам и 200 000,0 рублей фельдшерам (софинансирование областного бюджета)</t>
  </si>
  <si>
    <t>врачам-специалистам</t>
  </si>
  <si>
    <t>врач-стоматолог</t>
  </si>
  <si>
    <t>Врач-педиатр участковый</t>
  </si>
  <si>
    <t>врач-терапевт</t>
  </si>
  <si>
    <t>врач-оториноларинго-лог</t>
  </si>
  <si>
    <t>врач-уролог</t>
  </si>
  <si>
    <t>фельдшерам</t>
  </si>
  <si>
    <t>Заведующая ФАПом-фельдшер</t>
  </si>
  <si>
    <t>48 человек</t>
  </si>
  <si>
    <t>30 человек</t>
  </si>
  <si>
    <t>Подпрограмма 8. "Лекарственное обеспечение отдельных категорий граждан"</t>
  </si>
  <si>
    <t>Субсидия бюджетным и автономным учреждениям здравоохранения на обеспечение граждан лекарственными препаратами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гражданина или его инвалидности</t>
  </si>
  <si>
    <t>П2 8 02 72370</t>
  </si>
  <si>
    <t>5996</t>
  </si>
  <si>
    <t>510 014</t>
  </si>
  <si>
    <t xml:space="preserve">Основное мероприятие 8.02.                     "Лекарственное обеспечение граждан с орфанными заболеваниями" </t>
  </si>
  <si>
    <t>Мероприятие 8.02.03. Приобретение медикаментов            для БУЗ ОО «НКМЦ им. З. И. Круглой»</t>
  </si>
  <si>
    <t>фл.</t>
  </si>
  <si>
    <t>Субсидия бюджетным и автономным учрежденим здравоохранения на обеспечение граждан лекарственными препаратами для лечения заболеваний. приводящих к сокращению продолжительности жизни гражданина или его инвалидности</t>
  </si>
  <si>
    <t>П2 8 01 72370</t>
  </si>
  <si>
    <t>510             016</t>
  </si>
  <si>
    <t>Основное мероприятие 8.02.                     "Лекарственное обеспечение граждан с орфанными заболеваниями"</t>
  </si>
  <si>
    <t xml:space="preserve">Подпрограмма 9. "Развитие информатизации в зравоохранении" </t>
  </si>
  <si>
    <t xml:space="preserve">Субсидии бюджетным и автономным учреждениям на реализацию мероприятий подпрограммы "Развитие информатизации в зравоохранении" </t>
  </si>
  <si>
    <t>П2 9 01 71660</t>
  </si>
  <si>
    <t>5989</t>
  </si>
  <si>
    <t>52 П 2 18</t>
  </si>
  <si>
    <t>Основное мероприятие 9.01.                                                  "Поддержка, доработка и внедрение Единой государственной системы в сфере здравоохранения Орловской области"</t>
  </si>
  <si>
    <t>БУЗ Орловской области "Медицинский информационно-аналитический центр"</t>
  </si>
  <si>
    <t>Мероприятие 9.01.01. Обслуживание региональной МИС</t>
  </si>
  <si>
    <t>226                      Прочие услуги, работы</t>
  </si>
  <si>
    <t>Прочие работы, услуги Выполнение работ по развитию и техническому сопровождению Типовой информационной системы льготного лекарственного обеспечения жителей Орловской области "</t>
  </si>
  <si>
    <t>Закупка программно аппаратных комплексов VipNet HW1000</t>
  </si>
  <si>
    <t>Антивирус для серверов DRWEB</t>
  </si>
  <si>
    <t>Продление лицензии DRWEB для серверов</t>
  </si>
  <si>
    <t>Обновление СКЗИ (средства криптографической защиты информации) и передачу неисключительных прав на использование лицензионного программного обеспечения</t>
  </si>
  <si>
    <t>Сопровождение средств криптографической защиты информации</t>
  </si>
  <si>
    <t>Лицензии VipNet Client для обеспечения защищенной сети подключаемых в 2017 году врачебных амбулаторий, РБ и УБ в 2019-2020 для ФАПов</t>
  </si>
  <si>
    <t xml:space="preserve">Сервер </t>
  </si>
  <si>
    <t>Источник бесперебойного питания  АРС Smart - UPS X 2200VA для серверов</t>
  </si>
  <si>
    <t>Ремонт СКЗИ Тип 2 VipNet Coordinator HW 1000 и другого оборудования</t>
  </si>
  <si>
    <t>Субсидия бюджетным и автономным учреждениям на реализацию подпрограммы "Комплексные меры противодействия злоупотреблению наркотиками и их незаконному обороту" государственной программы Орловской области "Молодежь Орловщины"</t>
  </si>
  <si>
    <t>П6 4 04 72910</t>
  </si>
  <si>
    <t>5180</t>
  </si>
  <si>
    <t>52 П6 03</t>
  </si>
  <si>
    <t>Основное мероприятие  04.                                    "Организация целенаправленной информационно-просветительской работы с населением, прежде всего – с молодежью, по антинаркотической пропаганде"</t>
  </si>
  <si>
    <t>Учреждение: БУЗ Орловской области "Орловский наркологический диспансер"</t>
  </si>
  <si>
    <t>Разработка, тиражирование и распространение среди целевых групп населения методической и профилактической литературы по предотвращению незаконного потребления наркотиков</t>
  </si>
  <si>
    <t>340/7660            "Прочие материальные запасы"</t>
  </si>
  <si>
    <t>тиражирование методической литературы: календари настенные - 100шт., буклеты (3 вида) по 2000шт.</t>
  </si>
  <si>
    <t>П6 4 05 72910</t>
  </si>
  <si>
    <t xml:space="preserve">Основное мероприятие 05.                                                       "Внедрение новых методов и средств профилактики наркомании, лечения, а также медицинской   и социально-психологической реабилитации больных наркоманией"                   </t>
  </si>
  <si>
    <t>Разработка системы раннего выявления немедицинского потребления наркотиков и приобретение экспресс-тестов с целью выявления немедицинского потребления психоактивных веществ среди несовершеннолетних и молодежи</t>
  </si>
  <si>
    <t xml:space="preserve">приобретение тест полосок            </t>
  </si>
  <si>
    <t>Субсидия на выполнение наказов избирателей депутатам Орловского областного Совета народных депутатов</t>
  </si>
  <si>
    <t>ПН20072650</t>
  </si>
  <si>
    <t>530          075</t>
  </si>
  <si>
    <t>Подпрограмма 2 "Реализация наказов избирателей депутатам Орловского областного Совета народных депутатов в сфере здравоохранения"</t>
  </si>
  <si>
    <t>Мероприятие 2.13 Приобретение дверей для нужд перинатального центра</t>
  </si>
  <si>
    <t>Мероприятие 2.17 Приобретение компьютерной техники и оргтехники</t>
  </si>
  <si>
    <t>Мероприятие 2.16 Приобретение элементов ограждения периметра</t>
  </si>
  <si>
    <t>Мероприятие 2.23 Текущий ремонт крыши кислородно-раздаточной станции</t>
  </si>
  <si>
    <t>БУЗ ОО "Мценская центральная районная больница"</t>
  </si>
  <si>
    <t>Мероприятие 2.12 Приобретение медицинского оборудования</t>
  </si>
  <si>
    <t>Мероприятие 2.20 Приобретение медицинского оборудования и оргтехники</t>
  </si>
  <si>
    <t>Мероприятие  2.24 Приобретение медицинского оборудования</t>
  </si>
  <si>
    <t>Мероприятие 2.1 Приобретение биохимического анализатора полуавтоматического</t>
  </si>
  <si>
    <t>Мероприятие 2.21 Приобретение медицинского оборудования</t>
  </si>
  <si>
    <t xml:space="preserve"> Субсидия на выполнение наказов избирателей депутатам Орловского областного Совета народных депутатов</t>
  </si>
  <si>
    <t>530         075</t>
  </si>
  <si>
    <t>БУЗ ОО "Глазуновская центральная районная больница"</t>
  </si>
  <si>
    <t>Мероприятие 2.27 Приобретение медицинского оборудования и компьютерной техники</t>
  </si>
  <si>
    <t>Мероприятие 2.9 Изготовление ограждения территории</t>
  </si>
  <si>
    <t xml:space="preserve">Мероприятие 2.2 Ремонт пандуса поликлиники </t>
  </si>
  <si>
    <t xml:space="preserve">Мероприятие 2.3 Приобретение холодильного оборудования для фельдшерско-акушерских пунктов: Никольского, Куначенского, Речицкого, Екатериновского,Окуново-Горского </t>
  </si>
  <si>
    <t>Мероприятие 2.4 Приобретение легкового автомобиля для обслуживания вызовов на дому участковой службы</t>
  </si>
  <si>
    <t>Мероприятие 2.10 Приобретение легковых автомобилей для обслуживания вызовов на дому и оказания неотложной медицинской помощи</t>
  </si>
  <si>
    <t>Мероприятие 2.11 Замена оконных блоков в Отраднинском фельдшерско-акушерском пункте</t>
  </si>
  <si>
    <t>БУЗ ОО "Орловская областная стоматологическая поликлиника"</t>
  </si>
  <si>
    <t>Мероприятие 2.15 Приобретение медицинского оборудования для филиала, расположенного по адресу ; Моссковское шоссе, д.137, к.5а</t>
  </si>
  <si>
    <t>Мероприятие 2.26 Приобретение суточного монитора артериального давления</t>
  </si>
  <si>
    <t>БУЗ ОО "Поликлиника N5"</t>
  </si>
  <si>
    <t>Мероприятие 2.14 Приобретение медицинского оборудования</t>
  </si>
  <si>
    <t>Мероприятие 2.18 Обустройство пандуса</t>
  </si>
  <si>
    <t>Мероприятие 2.8 Приобретение строительных материалов для ремонта центральной лестницы</t>
  </si>
  <si>
    <t>Мероприятие 2.7 Приобретение мебели</t>
  </si>
  <si>
    <t>Мероприятие 2.6 Приобретение и установка оконных блоков</t>
  </si>
  <si>
    <t>Мероприятие 2.19 Приобретение проектора и ноутбука, строительных материалов для проведения ремонта в кабинетах женской консультации</t>
  </si>
  <si>
    <t>Мероприятие 2.22 Приобретение медицинского оборудования для женской консультации по ул. Ленина, д.4</t>
  </si>
  <si>
    <t>Мероприятие 2.25 Приобретение строительных материалов для проведения ремонта</t>
  </si>
  <si>
    <t>Мероприятие 2.28 Приобретение медицинского оборудования</t>
  </si>
  <si>
    <t>Мероприятие 2.29 Замена оконных блоков в Стрелецкой врачебной амбулатории</t>
  </si>
  <si>
    <t>Мероприятие 2.30 Приобретение медицинской техники и оборудования</t>
  </si>
</sst>
</file>

<file path=xl/styles.xml><?xml version="1.0" encoding="utf-8"?>
<styleSheet xmlns="http://schemas.openxmlformats.org/spreadsheetml/2006/main">
  <numFmts count="1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-* #,##0.00\ _₽_-;\-* #,##0.00\ _₽_-;_-* &quot;-&quot;??\ _₽_-;_-@_-"/>
    <numFmt numFmtId="167" formatCode="_-* #,##0.0_р_._-;\-* #,##0.0_р_._-;_-* &quot;-&quot;?_р_._-;_-@_-"/>
    <numFmt numFmtId="168" formatCode="_-* #,##0.0\ _₽_-;\-* #,##0.0\ _₽_-;_-* &quot;-&quot;??\ _₽_-;_-@_-"/>
    <numFmt numFmtId="169" formatCode="#,##0.00_ ;\-#,##0.00\ "/>
    <numFmt numFmtId="170" formatCode="_(* #,##0.0_);_(* \(#,##0.0\);_(* &quot;-&quot;??_);_(@_)"/>
    <numFmt numFmtId="171" formatCode="0.0"/>
    <numFmt numFmtId="172" formatCode="#,##0.000"/>
    <numFmt numFmtId="173" formatCode="* #,##0.00&quot;    &quot;;\-* #,##0.00&quot;    &quot;;* \-#&quot;    &quot;;@\ "/>
    <numFmt numFmtId="174" formatCode="_-* #,##0.00&quot;р.&quot;_-;\-* #,##0.00&quot;р.&quot;_-;_-* \-??&quot;р.&quot;_-;_-@_-"/>
  </numFmts>
  <fonts count="6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8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 CYR"/>
    </font>
    <font>
      <b/>
      <sz val="18"/>
      <color indexed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i/>
      <sz val="16"/>
      <color theme="5" tint="-0.249977111117893"/>
      <name val="Times New Roman"/>
      <family val="1"/>
      <charset val="204"/>
    </font>
    <font>
      <sz val="16"/>
      <color theme="5" tint="-0.249977111117893"/>
      <name val="Times New Roman"/>
      <family val="1"/>
      <charset val="204"/>
    </font>
    <font>
      <b/>
      <sz val="16"/>
      <color theme="5" tint="-0.249977111117893"/>
      <name val="Times New Roman"/>
      <family val="1"/>
      <charset val="204"/>
    </font>
    <font>
      <b/>
      <i/>
      <sz val="16"/>
      <color indexed="10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0"/>
      <name val="Arial Cyr"/>
      <charset val="204"/>
    </font>
    <font>
      <sz val="16"/>
      <color indexed="4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indexed="17"/>
      <name val="Times New Roman"/>
      <family val="1"/>
      <charset val="204"/>
    </font>
    <font>
      <sz val="10"/>
      <name val="Arial Cyr"/>
      <family val="2"/>
      <charset val="204"/>
    </font>
    <font>
      <b/>
      <sz val="18"/>
      <color indexed="8"/>
      <name val="Calibri"/>
      <family val="2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</font>
    <font>
      <sz val="18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rgb="FF000000"/>
      <name val="Arial Cyr"/>
    </font>
    <font>
      <sz val="11"/>
      <color rgb="FF008000"/>
      <name val="Calibri"/>
      <family val="2"/>
      <charset val="204"/>
    </font>
    <font>
      <b/>
      <sz val="18"/>
      <color indexed="56"/>
      <name val="Cambria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rgb="FF000000"/>
      <name val="Arial Cyr"/>
    </font>
    <font>
      <b/>
      <sz val="10"/>
      <color indexed="8"/>
      <name val="Arial CYR"/>
      <family val="2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0"/>
      <name val="Helv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13"/>
      </patternFill>
    </fill>
    <fill>
      <patternFill patternType="solid">
        <fgColor theme="6" tint="0.59999389629810485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3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29">
    <xf numFmtId="0" fontId="0" fillId="0" borderId="0"/>
    <xf numFmtId="166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7" fillId="0" borderId="0"/>
    <xf numFmtId="0" fontId="17" fillId="0" borderId="0"/>
    <xf numFmtId="0" fontId="18" fillId="0" borderId="15">
      <alignment vertical="top" wrapText="1"/>
    </xf>
    <xf numFmtId="43" fontId="12" fillId="0" borderId="0" applyFont="0" applyFill="0" applyBorder="0" applyAlignment="0" applyProtection="0"/>
    <xf numFmtId="0" fontId="18" fillId="0" borderId="15">
      <alignment vertical="top" wrapText="1"/>
    </xf>
    <xf numFmtId="0" fontId="7" fillId="0" borderId="0"/>
    <xf numFmtId="0" fontId="28" fillId="0" borderId="0"/>
    <xf numFmtId="43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2" fillId="0" borderId="0"/>
    <xf numFmtId="0" fontId="32" fillId="0" borderId="0"/>
    <xf numFmtId="0" fontId="7" fillId="0" borderId="0"/>
    <xf numFmtId="166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/>
    <xf numFmtId="0" fontId="36" fillId="0" borderId="0"/>
    <xf numFmtId="170" fontId="36" fillId="0" borderId="0" applyFill="0" applyBorder="0" applyAlignment="0" applyProtection="0"/>
    <xf numFmtId="0" fontId="28" fillId="0" borderId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2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3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0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4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0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3" borderId="0" applyNumberFormat="0" applyBorder="0" applyAlignment="0" applyProtection="0"/>
    <xf numFmtId="0" fontId="40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8" borderId="0" applyNumberFormat="0" applyBorder="0" applyAlignment="0" applyProtection="0"/>
    <xf numFmtId="0" fontId="40" fillId="58" borderId="0" applyNumberFormat="0" applyBorder="0" applyAlignment="0" applyProtection="0"/>
    <xf numFmtId="0" fontId="40" fillId="6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70" borderId="0" applyNumberFormat="0" applyBorder="0" applyAlignment="0" applyProtection="0"/>
    <xf numFmtId="0" fontId="40" fillId="7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/>
    <xf numFmtId="0" fontId="42" fillId="0" borderId="0"/>
    <xf numFmtId="0" fontId="43" fillId="54" borderId="22" applyNumberFormat="0" applyAlignment="0" applyProtection="0"/>
    <xf numFmtId="0" fontId="43" fillId="55" borderId="22" applyNumberFormat="0" applyAlignment="0" applyProtection="0"/>
    <xf numFmtId="0" fontId="44" fillId="72" borderId="23" applyNumberFormat="0" applyAlignment="0" applyProtection="0"/>
    <xf numFmtId="0" fontId="44" fillId="73" borderId="23" applyNumberFormat="0" applyAlignment="0" applyProtection="0"/>
    <xf numFmtId="0" fontId="42" fillId="0" borderId="0"/>
    <xf numFmtId="0" fontId="42" fillId="0" borderId="0"/>
    <xf numFmtId="0" fontId="12" fillId="0" borderId="0"/>
    <xf numFmtId="0" fontId="12" fillId="0" borderId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22" applyNumberFormat="0" applyAlignment="0" applyProtection="0"/>
    <xf numFmtId="0" fontId="50" fillId="28" borderId="22" applyNumberFormat="0" applyAlignment="0" applyProtection="0"/>
    <xf numFmtId="0" fontId="51" fillId="0" borderId="27" applyNumberFormat="0" applyFill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4" borderId="28" applyNumberFormat="0" applyAlignment="0" applyProtection="0"/>
    <xf numFmtId="0" fontId="12" fillId="12" borderId="28" applyNumberFormat="0" applyFont="0" applyAlignment="0" applyProtection="0"/>
    <xf numFmtId="0" fontId="12" fillId="12" borderId="28" applyNumberFormat="0" applyFont="0" applyAlignment="0" applyProtection="0"/>
    <xf numFmtId="0" fontId="53" fillId="54" borderId="29" applyNumberFormat="0" applyAlignment="0" applyProtection="0"/>
    <xf numFmtId="0" fontId="53" fillId="55" borderId="29" applyNumberFormat="0" applyAlignment="0" applyProtection="0"/>
    <xf numFmtId="0" fontId="54" fillId="0" borderId="0"/>
    <xf numFmtId="0" fontId="55" fillId="74" borderId="0"/>
    <xf numFmtId="0" fontId="54" fillId="0" borderId="0"/>
    <xf numFmtId="0" fontId="56" fillId="0" borderId="0" applyNumberFormat="0" applyFill="0" applyBorder="0" applyAlignment="0" applyProtection="0"/>
    <xf numFmtId="0" fontId="57" fillId="0" borderId="30" applyNumberFormat="0" applyFill="0" applyAlignment="0" applyProtection="0"/>
    <xf numFmtId="0" fontId="42" fillId="0" borderId="0"/>
    <xf numFmtId="0" fontId="42" fillId="0" borderId="0"/>
    <xf numFmtId="0" fontId="58" fillId="0" borderId="0" applyNumberFormat="0" applyFill="0" applyBorder="0" applyAlignment="0" applyProtection="0"/>
    <xf numFmtId="0" fontId="54" fillId="75" borderId="0"/>
    <xf numFmtId="0" fontId="54" fillId="0" borderId="0">
      <alignment wrapText="1"/>
    </xf>
    <xf numFmtId="0" fontId="54" fillId="0" borderId="0"/>
    <xf numFmtId="0" fontId="59" fillId="0" borderId="0">
      <alignment horizontal="center" wrapText="1"/>
    </xf>
    <xf numFmtId="0" fontId="59" fillId="0" borderId="0">
      <alignment horizontal="center"/>
    </xf>
    <xf numFmtId="0" fontId="54" fillId="0" borderId="0">
      <alignment horizontal="right"/>
    </xf>
    <xf numFmtId="0" fontId="54" fillId="75" borderId="31"/>
    <xf numFmtId="0" fontId="54" fillId="0" borderId="15">
      <alignment horizontal="center" vertical="center" wrapText="1"/>
    </xf>
    <xf numFmtId="0" fontId="54" fillId="75" borderId="32"/>
    <xf numFmtId="49" fontId="54" fillId="0" borderId="15">
      <alignment horizontal="left" vertical="top" wrapText="1" indent="2"/>
    </xf>
    <xf numFmtId="49" fontId="54" fillId="0" borderId="15">
      <alignment horizontal="center" vertical="top" shrinkToFit="1"/>
    </xf>
    <xf numFmtId="4" fontId="54" fillId="0" borderId="15">
      <alignment horizontal="right" vertical="top" shrinkToFit="1"/>
    </xf>
    <xf numFmtId="10" fontId="54" fillId="0" borderId="15">
      <alignment horizontal="right" vertical="top" shrinkToFit="1"/>
    </xf>
    <xf numFmtId="0" fontId="54" fillId="75" borderId="32">
      <alignment shrinkToFit="1"/>
    </xf>
    <xf numFmtId="0" fontId="18" fillId="0" borderId="15">
      <alignment horizontal="left"/>
    </xf>
    <xf numFmtId="4" fontId="18" fillId="2" borderId="15">
      <alignment horizontal="right" vertical="top" shrinkToFit="1"/>
    </xf>
    <xf numFmtId="10" fontId="18" fillId="2" borderId="15">
      <alignment horizontal="right" vertical="top" shrinkToFit="1"/>
    </xf>
    <xf numFmtId="0" fontId="54" fillId="75" borderId="33"/>
    <xf numFmtId="0" fontId="54" fillId="0" borderId="0">
      <alignment horizontal="left" wrapText="1"/>
    </xf>
    <xf numFmtId="4" fontId="18" fillId="76" borderId="15">
      <alignment horizontal="right" vertical="top" shrinkToFit="1"/>
    </xf>
    <xf numFmtId="10" fontId="18" fillId="76" borderId="15">
      <alignment horizontal="right" vertical="top" shrinkToFit="1"/>
    </xf>
    <xf numFmtId="0" fontId="60" fillId="0" borderId="34">
      <alignment vertical="top" wrapText="1"/>
    </xf>
    <xf numFmtId="0" fontId="54" fillId="75" borderId="32">
      <alignment horizontal="center"/>
    </xf>
    <xf numFmtId="0" fontId="54" fillId="75" borderId="32">
      <alignment horizontal="center"/>
    </xf>
    <xf numFmtId="4" fontId="60" fillId="36" borderId="34">
      <alignment horizontal="right" vertical="top" shrinkToFit="1"/>
    </xf>
    <xf numFmtId="0" fontId="54" fillId="75" borderId="32">
      <alignment horizontal="left"/>
    </xf>
    <xf numFmtId="0" fontId="54" fillId="75" borderId="32">
      <alignment horizontal="left"/>
    </xf>
    <xf numFmtId="0" fontId="54" fillId="75" borderId="33">
      <alignment horizontal="center"/>
    </xf>
    <xf numFmtId="0" fontId="54" fillId="75" borderId="33">
      <alignment horizontal="left"/>
    </xf>
    <xf numFmtId="4" fontId="18" fillId="76" borderId="15">
      <alignment horizontal="right" vertical="top" shrinkToFit="1"/>
    </xf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0" fontId="40" fillId="79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80" borderId="0" applyNumberFormat="0" applyBorder="0" applyAlignment="0" applyProtection="0"/>
    <xf numFmtId="0" fontId="50" fillId="37" borderId="22" applyNumberFormat="0" applyAlignment="0" applyProtection="0"/>
    <xf numFmtId="0" fontId="53" fillId="81" borderId="29" applyNumberFormat="0" applyAlignment="0" applyProtection="0"/>
    <xf numFmtId="0" fontId="43" fillId="81" borderId="22" applyNumberFormat="0" applyAlignment="0" applyProtection="0"/>
    <xf numFmtId="174" fontId="36" fillId="0" borderId="0" applyFill="0" applyBorder="0" applyAlignment="0" applyProtection="0"/>
    <xf numFmtId="44" fontId="28" fillId="0" borderId="0" applyFont="0" applyFill="0" applyBorder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7" fillId="0" borderId="30" applyNumberFormat="0" applyFill="0" applyAlignment="0" applyProtection="0"/>
    <xf numFmtId="0" fontId="44" fillId="82" borderId="23" applyNumberFormat="0" applyAlignment="0" applyProtection="0"/>
    <xf numFmtId="0" fontId="61" fillId="0" borderId="0" applyNumberFormat="0" applyFill="0" applyBorder="0" applyAlignment="0" applyProtection="0"/>
    <xf numFmtId="0" fontId="52" fillId="83" borderId="0" applyNumberFormat="0" applyBorder="0" applyAlignment="0" applyProtection="0"/>
    <xf numFmtId="0" fontId="17" fillId="0" borderId="0"/>
    <xf numFmtId="0" fontId="32" fillId="0" borderId="0"/>
    <xf numFmtId="0" fontId="28" fillId="0" borderId="0"/>
    <xf numFmtId="0" fontId="62" fillId="0" borderId="0"/>
    <xf numFmtId="0" fontId="7" fillId="0" borderId="0"/>
    <xf numFmtId="0" fontId="7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36" fillId="0" borderId="0"/>
    <xf numFmtId="0" fontId="41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84" borderId="28" applyNumberFormat="0" applyFont="0" applyAlignment="0" applyProtection="0"/>
    <xf numFmtId="0" fontId="51" fillId="0" borderId="27" applyNumberFormat="0" applyFill="0" applyAlignment="0" applyProtection="0"/>
    <xf numFmtId="0" fontId="36" fillId="0" borderId="0"/>
    <xf numFmtId="0" fontId="63" fillId="0" borderId="0"/>
    <xf numFmtId="0" fontId="58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24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3" borderId="0" xfId="0" applyFont="1" applyFill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vertical="center"/>
    </xf>
    <xf numFmtId="0" fontId="5" fillId="0" borderId="0" xfId="0" applyFont="1"/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9" fillId="0" borderId="3" xfId="4" applyNumberFormat="1" applyFont="1" applyBorder="1" applyAlignment="1">
      <alignment horizontal="center" vertical="center" wrapText="1"/>
    </xf>
    <xf numFmtId="4" fontId="9" fillId="0" borderId="3" xfId="4" applyNumberFormat="1" applyFont="1" applyBorder="1" applyAlignment="1">
      <alignment horizontal="center" vertical="center"/>
    </xf>
    <xf numFmtId="1" fontId="10" fillId="4" borderId="3" xfId="4" applyNumberFormat="1" applyFont="1" applyFill="1" applyBorder="1" applyAlignment="1">
      <alignment horizontal="center" vertical="center" wrapText="1"/>
    </xf>
    <xf numFmtId="0" fontId="9" fillId="4" borderId="3" xfId="4" applyFont="1" applyFill="1" applyBorder="1" applyAlignment="1">
      <alignment horizontal="center" vertical="center" wrapText="1"/>
    </xf>
    <xf numFmtId="164" fontId="10" fillId="4" borderId="3" xfId="4" applyNumberFormat="1" applyFont="1" applyFill="1" applyBorder="1" applyAlignment="1">
      <alignment horizontal="center" vertical="center" wrapText="1"/>
    </xf>
    <xf numFmtId="4" fontId="9" fillId="4" borderId="3" xfId="4" applyNumberFormat="1" applyFont="1" applyFill="1" applyBorder="1" applyAlignment="1">
      <alignment horizontal="center" vertical="center" wrapText="1"/>
    </xf>
    <xf numFmtId="0" fontId="11" fillId="0" borderId="3" xfId="0" applyFont="1" applyBorder="1"/>
    <xf numFmtId="0" fontId="9" fillId="5" borderId="3" xfId="0" applyFont="1" applyFill="1" applyBorder="1" applyAlignment="1">
      <alignment horizontal="center" vertical="center"/>
    </xf>
    <xf numFmtId="4" fontId="9" fillId="5" borderId="3" xfId="0" applyNumberFormat="1" applyFont="1" applyFill="1" applyBorder="1" applyAlignment="1">
      <alignment horizontal="center" vertical="center"/>
    </xf>
    <xf numFmtId="0" fontId="9" fillId="6" borderId="3" xfId="4" applyFont="1" applyFill="1" applyBorder="1" applyAlignment="1">
      <alignment horizontal="center" vertical="center" wrapText="1"/>
    </xf>
    <xf numFmtId="4" fontId="9" fillId="6" borderId="3" xfId="4" applyNumberFormat="1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left" vertical="top" wrapText="1"/>
    </xf>
    <xf numFmtId="49" fontId="9" fillId="7" borderId="3" xfId="4" applyNumberFormat="1" applyFont="1" applyFill="1" applyBorder="1" applyAlignment="1">
      <alignment horizontal="center" vertical="center" wrapText="1"/>
    </xf>
    <xf numFmtId="4" fontId="9" fillId="7" borderId="3" xfId="4" applyNumberFormat="1" applyFont="1" applyFill="1" applyBorder="1" applyAlignment="1">
      <alignment horizontal="center" vertical="center" wrapText="1"/>
    </xf>
    <xf numFmtId="4" fontId="9" fillId="7" borderId="3" xfId="4" applyNumberFormat="1" applyFont="1" applyFill="1" applyBorder="1" applyAlignment="1">
      <alignment horizontal="center" vertical="center"/>
    </xf>
    <xf numFmtId="0" fontId="10" fillId="7" borderId="3" xfId="4" applyFont="1" applyFill="1" applyBorder="1" applyAlignment="1">
      <alignment horizontal="center" vertical="top"/>
    </xf>
    <xf numFmtId="2" fontId="10" fillId="7" borderId="3" xfId="4" applyNumberFormat="1" applyFont="1" applyFill="1" applyBorder="1" applyAlignment="1">
      <alignment horizontal="left" vertical="center"/>
    </xf>
    <xf numFmtId="0" fontId="9" fillId="7" borderId="3" xfId="4" applyFont="1" applyFill="1" applyBorder="1" applyAlignment="1">
      <alignment horizontal="center" vertical="top"/>
    </xf>
    <xf numFmtId="164" fontId="9" fillId="7" borderId="3" xfId="4" applyNumberFormat="1" applyFont="1" applyFill="1" applyBorder="1" applyAlignment="1">
      <alignment horizontal="center" vertical="top"/>
    </xf>
    <xf numFmtId="164" fontId="9" fillId="7" borderId="3" xfId="4" applyNumberFormat="1" applyFont="1" applyFill="1" applyBorder="1" applyAlignment="1">
      <alignment horizontal="center" vertical="center"/>
    </xf>
    <xf numFmtId="2" fontId="10" fillId="8" borderId="3" xfId="4" applyNumberFormat="1" applyFont="1" applyFill="1" applyBorder="1" applyAlignment="1">
      <alignment horizontal="left" vertical="center" wrapText="1"/>
    </xf>
    <xf numFmtId="0" fontId="9" fillId="8" borderId="3" xfId="4" applyFont="1" applyFill="1" applyBorder="1" applyAlignment="1">
      <alignment horizontal="center" vertical="center" textRotation="90" wrapText="1"/>
    </xf>
    <xf numFmtId="164" fontId="9" fillId="8" borderId="3" xfId="4" applyNumberFormat="1" applyFont="1" applyFill="1" applyBorder="1" applyAlignment="1">
      <alignment horizontal="center" vertical="center"/>
    </xf>
    <xf numFmtId="4" fontId="9" fillId="8" borderId="3" xfId="4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vertical="top" wrapText="1"/>
    </xf>
    <xf numFmtId="0" fontId="10" fillId="8" borderId="3" xfId="4" applyFont="1" applyFill="1" applyBorder="1" applyAlignment="1">
      <alignment horizontal="center" vertical="center" textRotation="90" wrapText="1"/>
    </xf>
    <xf numFmtId="164" fontId="10" fillId="8" borderId="3" xfId="4" applyNumberFormat="1" applyFont="1" applyFill="1" applyBorder="1" applyAlignment="1">
      <alignment horizontal="center" vertical="top"/>
    </xf>
    <xf numFmtId="4" fontId="10" fillId="8" borderId="3" xfId="4" applyNumberFormat="1" applyFont="1" applyFill="1" applyBorder="1" applyAlignment="1">
      <alignment horizontal="center" vertical="top"/>
    </xf>
    <xf numFmtId="4" fontId="10" fillId="8" borderId="3" xfId="4" applyNumberFormat="1" applyFont="1" applyFill="1" applyBorder="1" applyAlignment="1">
      <alignment horizontal="center" vertical="center"/>
    </xf>
    <xf numFmtId="4" fontId="11" fillId="8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9" fillId="8" borderId="3" xfId="4" applyFont="1" applyFill="1" applyBorder="1" applyAlignment="1">
      <alignment vertical="top" wrapText="1"/>
    </xf>
    <xf numFmtId="4" fontId="9" fillId="8" borderId="3" xfId="1" applyNumberFormat="1" applyFont="1" applyFill="1" applyBorder="1" applyAlignment="1">
      <alignment horizontal="center" vertical="center" wrapText="1"/>
    </xf>
    <xf numFmtId="0" fontId="10" fillId="8" borderId="3" xfId="4" applyFont="1" applyFill="1" applyBorder="1" applyAlignment="1">
      <alignment horizontal="center" vertical="center" wrapText="1"/>
    </xf>
    <xf numFmtId="0" fontId="10" fillId="8" borderId="3" xfId="4" applyFont="1" applyFill="1" applyBorder="1" applyAlignment="1">
      <alignment horizontal="left" vertical="top" wrapText="1"/>
    </xf>
    <xf numFmtId="1" fontId="10" fillId="8" borderId="3" xfId="4" applyNumberFormat="1" applyFont="1" applyFill="1" applyBorder="1" applyAlignment="1">
      <alignment horizontal="center" vertical="top"/>
    </xf>
    <xf numFmtId="4" fontId="9" fillId="8" borderId="7" xfId="1" applyNumberFormat="1" applyFont="1" applyFill="1" applyBorder="1" applyAlignment="1">
      <alignment horizontal="center" vertical="center" wrapText="1"/>
    </xf>
    <xf numFmtId="4" fontId="9" fillId="8" borderId="7" xfId="4" applyNumberFormat="1" applyFont="1" applyFill="1" applyBorder="1" applyAlignment="1">
      <alignment horizontal="center" vertical="center" wrapText="1"/>
    </xf>
    <xf numFmtId="0" fontId="10" fillId="8" borderId="7" xfId="4" applyFont="1" applyFill="1" applyBorder="1" applyAlignment="1">
      <alignment horizontal="center" vertical="center" wrapText="1"/>
    </xf>
    <xf numFmtId="164" fontId="9" fillId="8" borderId="3" xfId="4" applyNumberFormat="1" applyFont="1" applyFill="1" applyBorder="1" applyAlignment="1">
      <alignment horizontal="center" vertical="top"/>
    </xf>
    <xf numFmtId="0" fontId="9" fillId="7" borderId="3" xfId="4" applyFont="1" applyFill="1" applyBorder="1" applyAlignment="1">
      <alignment vertical="top" wrapText="1"/>
    </xf>
    <xf numFmtId="0" fontId="10" fillId="7" borderId="3" xfId="4" applyFont="1" applyFill="1" applyBorder="1" applyAlignment="1">
      <alignment vertical="top"/>
    </xf>
    <xf numFmtId="0" fontId="10" fillId="0" borderId="3" xfId="4" applyFont="1" applyFill="1" applyBorder="1" applyAlignment="1">
      <alignment horizontal="left" vertical="top" wrapText="1"/>
    </xf>
    <xf numFmtId="4" fontId="9" fillId="8" borderId="3" xfId="4" applyNumberFormat="1" applyFont="1" applyFill="1" applyBorder="1" applyAlignment="1">
      <alignment horizontal="center" vertical="top" wrapText="1"/>
    </xf>
    <xf numFmtId="0" fontId="10" fillId="8" borderId="3" xfId="4" applyFont="1" applyFill="1" applyBorder="1" applyAlignment="1">
      <alignment horizontal="center" vertical="top" wrapText="1"/>
    </xf>
    <xf numFmtId="0" fontId="10" fillId="8" borderId="3" xfId="0" applyFont="1" applyFill="1" applyBorder="1" applyAlignment="1">
      <alignment horizontal="center" vertical="center" textRotation="90" wrapText="1"/>
    </xf>
    <xf numFmtId="164" fontId="6" fillId="8" borderId="3" xfId="0" applyNumberFormat="1" applyFont="1" applyFill="1" applyBorder="1" applyAlignment="1">
      <alignment horizontal="center" vertical="top"/>
    </xf>
    <xf numFmtId="4" fontId="6" fillId="8" borderId="3" xfId="0" applyNumberFormat="1" applyFont="1" applyFill="1" applyBorder="1" applyAlignment="1">
      <alignment horizontal="center" vertical="top"/>
    </xf>
    <xf numFmtId="164" fontId="6" fillId="8" borderId="3" xfId="0" applyNumberFormat="1" applyFont="1" applyFill="1" applyBorder="1" applyAlignment="1">
      <alignment horizontal="center" vertical="center"/>
    </xf>
    <xf numFmtId="4" fontId="9" fillId="8" borderId="3" xfId="1" applyNumberFormat="1" applyFont="1" applyFill="1" applyBorder="1" applyAlignment="1">
      <alignment horizontal="center" vertical="top" wrapText="1"/>
    </xf>
    <xf numFmtId="164" fontId="9" fillId="8" borderId="3" xfId="1" applyNumberFormat="1" applyFont="1" applyFill="1" applyBorder="1" applyAlignment="1">
      <alignment horizontal="center" vertical="top" wrapText="1"/>
    </xf>
    <xf numFmtId="0" fontId="10" fillId="8" borderId="3" xfId="0" applyFont="1" applyFill="1" applyBorder="1" applyAlignment="1">
      <alignment horizontal="center" vertical="top" textRotation="90" wrapText="1"/>
    </xf>
    <xf numFmtId="3" fontId="10" fillId="8" borderId="3" xfId="0" applyNumberFormat="1" applyFont="1" applyFill="1" applyBorder="1" applyAlignment="1">
      <alignment horizontal="center" vertical="top"/>
    </xf>
    <xf numFmtId="4" fontId="10" fillId="8" borderId="3" xfId="1" applyNumberFormat="1" applyFont="1" applyFill="1" applyBorder="1" applyAlignment="1">
      <alignment horizontal="center" vertical="top"/>
    </xf>
    <xf numFmtId="164" fontId="9" fillId="8" borderId="3" xfId="1" applyNumberFormat="1" applyFont="1" applyFill="1" applyBorder="1" applyAlignment="1">
      <alignment horizontal="center" vertical="center"/>
    </xf>
    <xf numFmtId="164" fontId="9" fillId="8" borderId="3" xfId="6" applyNumberFormat="1" applyFont="1" applyFill="1" applyBorder="1" applyAlignment="1">
      <alignment horizontal="center" vertical="center"/>
    </xf>
    <xf numFmtId="4" fontId="10" fillId="8" borderId="3" xfId="6" applyNumberFormat="1" applyFont="1" applyFill="1" applyBorder="1" applyAlignment="1">
      <alignment horizontal="center" vertical="center"/>
    </xf>
    <xf numFmtId="0" fontId="6" fillId="7" borderId="3" xfId="4" applyFont="1" applyFill="1" applyBorder="1" applyAlignment="1">
      <alignment horizontal="left" vertical="top" wrapText="1"/>
    </xf>
    <xf numFmtId="49" fontId="6" fillId="7" borderId="3" xfId="4" applyNumberFormat="1" applyFont="1" applyFill="1" applyBorder="1" applyAlignment="1">
      <alignment horizontal="center" vertical="center" wrapText="1"/>
    </xf>
    <xf numFmtId="4" fontId="9" fillId="7" borderId="3" xfId="1" applyNumberFormat="1" applyFont="1" applyFill="1" applyBorder="1" applyAlignment="1">
      <alignment horizontal="center" vertical="center" wrapText="1"/>
    </xf>
    <xf numFmtId="0" fontId="10" fillId="7" borderId="3" xfId="4" applyFont="1" applyFill="1" applyBorder="1" applyAlignment="1">
      <alignment vertical="top" wrapText="1"/>
    </xf>
    <xf numFmtId="2" fontId="10" fillId="7" borderId="3" xfId="4" applyNumberFormat="1" applyFont="1" applyFill="1" applyBorder="1" applyAlignment="1">
      <alignment horizontal="left" vertical="center" wrapText="1"/>
    </xf>
    <xf numFmtId="0" fontId="9" fillId="7" borderId="3" xfId="4" applyFont="1" applyFill="1" applyBorder="1" applyAlignment="1">
      <alignment horizontal="center" vertical="top" wrapText="1"/>
    </xf>
    <xf numFmtId="164" fontId="9" fillId="7" borderId="3" xfId="4" applyNumberFormat="1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 vertical="top" wrapText="1"/>
    </xf>
    <xf numFmtId="164" fontId="10" fillId="8" borderId="3" xfId="6" applyNumberFormat="1" applyFont="1" applyFill="1" applyBorder="1" applyAlignment="1">
      <alignment horizontal="center" vertical="top" wrapText="1"/>
    </xf>
    <xf numFmtId="164" fontId="10" fillId="8" borderId="3" xfId="4" applyNumberFormat="1" applyFont="1" applyFill="1" applyBorder="1" applyAlignment="1">
      <alignment horizontal="center" vertical="center"/>
    </xf>
    <xf numFmtId="4" fontId="10" fillId="8" borderId="3" xfId="6" applyNumberFormat="1" applyFont="1" applyFill="1" applyBorder="1" applyAlignment="1">
      <alignment horizontal="center" vertical="center" wrapText="1"/>
    </xf>
    <xf numFmtId="4" fontId="10" fillId="8" borderId="3" xfId="1" applyNumberFormat="1" applyFont="1" applyFill="1" applyBorder="1" applyAlignment="1">
      <alignment horizontal="center" vertical="center" wrapText="1"/>
    </xf>
    <xf numFmtId="166" fontId="10" fillId="8" borderId="3" xfId="1" applyFont="1" applyFill="1" applyBorder="1" applyAlignment="1">
      <alignment horizontal="center" vertical="center"/>
    </xf>
    <xf numFmtId="0" fontId="10" fillId="8" borderId="3" xfId="4" applyFont="1" applyFill="1" applyBorder="1" applyAlignment="1">
      <alignment horizontal="center" vertical="center" textRotation="90"/>
    </xf>
    <xf numFmtId="1" fontId="10" fillId="8" borderId="3" xfId="5" applyNumberFormat="1" applyFont="1" applyFill="1" applyBorder="1" applyAlignment="1">
      <alignment horizontal="center" vertical="center"/>
    </xf>
    <xf numFmtId="4" fontId="10" fillId="8" borderId="3" xfId="5" applyNumberFormat="1" applyFont="1" applyFill="1" applyBorder="1" applyAlignment="1">
      <alignment horizontal="center" vertical="center"/>
    </xf>
    <xf numFmtId="4" fontId="10" fillId="8" borderId="3" xfId="0" applyNumberFormat="1" applyFont="1" applyFill="1" applyBorder="1" applyAlignment="1">
      <alignment horizontal="center" vertical="center"/>
    </xf>
    <xf numFmtId="0" fontId="9" fillId="8" borderId="3" xfId="4" applyFont="1" applyFill="1" applyBorder="1" applyAlignment="1">
      <alignment horizontal="left" vertical="top" wrapText="1"/>
    </xf>
    <xf numFmtId="1" fontId="10" fillId="8" borderId="3" xfId="4" applyNumberFormat="1" applyFont="1" applyFill="1" applyBorder="1" applyAlignment="1">
      <alignment horizontal="center" vertical="center" wrapText="1"/>
    </xf>
    <xf numFmtId="166" fontId="10" fillId="8" borderId="3" xfId="1" applyFont="1" applyFill="1" applyBorder="1" applyAlignment="1">
      <alignment horizontal="center" vertical="center" wrapText="1"/>
    </xf>
    <xf numFmtId="0" fontId="9" fillId="8" borderId="3" xfId="4" applyFont="1" applyFill="1" applyBorder="1" applyAlignment="1">
      <alignment horizontal="center" vertical="center" wrapText="1"/>
    </xf>
    <xf numFmtId="4" fontId="9" fillId="8" borderId="3" xfId="5" applyNumberFormat="1" applyFont="1" applyFill="1" applyBorder="1" applyAlignment="1">
      <alignment horizontal="center" vertical="center"/>
    </xf>
    <xf numFmtId="1" fontId="9" fillId="8" borderId="3" xfId="5" applyNumberFormat="1" applyFont="1" applyFill="1" applyBorder="1" applyAlignment="1">
      <alignment horizontal="center" vertical="center"/>
    </xf>
    <xf numFmtId="164" fontId="9" fillId="8" borderId="3" xfId="5" applyNumberFormat="1" applyFont="1" applyFill="1" applyBorder="1" applyAlignment="1">
      <alignment horizontal="center" vertical="center"/>
    </xf>
    <xf numFmtId="164" fontId="10" fillId="8" borderId="3" xfId="5" applyNumberFormat="1" applyFont="1" applyFill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" fontId="9" fillId="7" borderId="3" xfId="4" applyNumberFormat="1" applyFont="1" applyFill="1" applyBorder="1" applyAlignment="1">
      <alignment horizontal="center" vertical="top" wrapText="1"/>
    </xf>
    <xf numFmtId="4" fontId="9" fillId="7" borderId="3" xfId="4" applyNumberFormat="1" applyFont="1" applyFill="1" applyBorder="1" applyAlignment="1">
      <alignment horizontal="center" vertical="top"/>
    </xf>
    <xf numFmtId="2" fontId="10" fillId="7" borderId="3" xfId="4" applyNumberFormat="1" applyFont="1" applyFill="1" applyBorder="1" applyAlignment="1">
      <alignment horizontal="left" vertical="top"/>
    </xf>
    <xf numFmtId="167" fontId="9" fillId="7" borderId="3" xfId="4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2" fontId="10" fillId="8" borderId="3" xfId="4" applyNumberFormat="1" applyFont="1" applyFill="1" applyBorder="1" applyAlignment="1">
      <alignment horizontal="left" vertical="top" wrapText="1"/>
    </xf>
    <xf numFmtId="164" fontId="10" fillId="8" borderId="3" xfId="5" applyNumberFormat="1" applyFont="1" applyFill="1" applyBorder="1" applyAlignment="1">
      <alignment horizontal="center" vertical="top"/>
    </xf>
    <xf numFmtId="0" fontId="11" fillId="8" borderId="3" xfId="0" applyFont="1" applyFill="1" applyBorder="1" applyAlignment="1">
      <alignment horizontal="center" vertical="center"/>
    </xf>
    <xf numFmtId="164" fontId="9" fillId="7" borderId="3" xfId="4" applyNumberFormat="1" applyFont="1" applyFill="1" applyBorder="1" applyAlignment="1">
      <alignment vertical="top" wrapText="1"/>
    </xf>
    <xf numFmtId="164" fontId="10" fillId="7" borderId="3" xfId="4" applyNumberFormat="1" applyFont="1" applyFill="1" applyBorder="1" applyAlignment="1">
      <alignment vertical="center"/>
    </xf>
    <xf numFmtId="164" fontId="9" fillId="7" borderId="3" xfId="4" applyNumberFormat="1" applyFont="1" applyFill="1" applyBorder="1" applyAlignment="1">
      <alignment horizontal="center" vertical="center" textRotation="90"/>
    </xf>
    <xf numFmtId="0" fontId="5" fillId="0" borderId="0" xfId="0" applyFont="1" applyBorder="1"/>
    <xf numFmtId="2" fontId="14" fillId="8" borderId="3" xfId="4" applyNumberFormat="1" applyFont="1" applyFill="1" applyBorder="1" applyAlignment="1">
      <alignment horizontal="left" vertical="center" wrapText="1"/>
    </xf>
    <xf numFmtId="0" fontId="14" fillId="8" borderId="3" xfId="4" applyFont="1" applyFill="1" applyBorder="1" applyAlignment="1">
      <alignment horizontal="center" vertical="center" textRotation="90"/>
    </xf>
    <xf numFmtId="0" fontId="14" fillId="8" borderId="3" xfId="4" applyFont="1" applyFill="1" applyBorder="1" applyAlignment="1">
      <alignment horizontal="center" vertical="center"/>
    </xf>
    <xf numFmtId="164" fontId="14" fillId="8" borderId="3" xfId="5" applyNumberFormat="1" applyFont="1" applyFill="1" applyBorder="1" applyAlignment="1">
      <alignment horizontal="center" vertical="center"/>
    </xf>
    <xf numFmtId="4" fontId="14" fillId="8" borderId="3" xfId="5" applyNumberFormat="1" applyFont="1" applyFill="1" applyBorder="1" applyAlignment="1">
      <alignment horizontal="center" vertical="center"/>
    </xf>
    <xf numFmtId="0" fontId="5" fillId="0" borderId="3" xfId="0" applyFont="1" applyBorder="1"/>
    <xf numFmtId="0" fontId="10" fillId="8" borderId="3" xfId="4" applyFont="1" applyFill="1" applyBorder="1" applyAlignment="1">
      <alignment horizontal="center" vertical="center"/>
    </xf>
    <xf numFmtId="2" fontId="15" fillId="8" borderId="3" xfId="4" applyNumberFormat="1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top" wrapText="1"/>
    </xf>
    <xf numFmtId="0" fontId="14" fillId="8" borderId="3" xfId="7" applyFont="1" applyFill="1" applyBorder="1" applyAlignment="1">
      <alignment horizontal="center" vertical="center" textRotation="90"/>
    </xf>
    <xf numFmtId="0" fontId="16" fillId="8" borderId="3" xfId="0" applyFont="1" applyFill="1" applyBorder="1" applyAlignment="1">
      <alignment horizontal="center" vertical="top"/>
    </xf>
    <xf numFmtId="4" fontId="16" fillId="8" borderId="3" xfId="0" applyNumberFormat="1" applyFont="1" applyFill="1" applyBorder="1" applyAlignment="1">
      <alignment horizontal="center" vertical="top"/>
    </xf>
    <xf numFmtId="4" fontId="16" fillId="8" borderId="3" xfId="0" applyNumberFormat="1" applyFont="1" applyFill="1" applyBorder="1" applyAlignment="1">
      <alignment horizontal="center" vertical="center"/>
    </xf>
    <xf numFmtId="0" fontId="10" fillId="8" borderId="3" xfId="7" applyFont="1" applyFill="1" applyBorder="1" applyAlignment="1">
      <alignment horizontal="center" vertical="center" textRotation="90"/>
    </xf>
    <xf numFmtId="0" fontId="11" fillId="8" borderId="3" xfId="0" applyFont="1" applyFill="1" applyBorder="1" applyAlignment="1">
      <alignment horizontal="center" vertical="top"/>
    </xf>
    <xf numFmtId="4" fontId="11" fillId="8" borderId="3" xfId="0" applyNumberFormat="1" applyFont="1" applyFill="1" applyBorder="1" applyAlignment="1">
      <alignment horizontal="center" vertical="top"/>
    </xf>
    <xf numFmtId="4" fontId="11" fillId="3" borderId="3" xfId="0" applyNumberFormat="1" applyFont="1" applyFill="1" applyBorder="1" applyAlignment="1">
      <alignment horizontal="center" vertical="center"/>
    </xf>
    <xf numFmtId="4" fontId="10" fillId="3" borderId="3" xfId="6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top" wrapText="1"/>
    </xf>
    <xf numFmtId="0" fontId="13" fillId="8" borderId="3" xfId="0" applyFont="1" applyFill="1" applyBorder="1" applyAlignment="1">
      <alignment horizontal="center" vertical="top" wrapText="1"/>
    </xf>
    <xf numFmtId="0" fontId="13" fillId="8" borderId="3" xfId="0" applyFont="1" applyFill="1" applyBorder="1" applyAlignment="1">
      <alignment horizontal="left" vertical="top" wrapText="1"/>
    </xf>
    <xf numFmtId="4" fontId="13" fillId="8" borderId="3" xfId="0" applyNumberFormat="1" applyFont="1" applyFill="1" applyBorder="1" applyAlignment="1">
      <alignment horizontal="center" vertical="top" wrapText="1"/>
    </xf>
    <xf numFmtId="0" fontId="9" fillId="7" borderId="3" xfId="4" applyFont="1" applyFill="1" applyBorder="1" applyAlignment="1">
      <alignment horizontal="center" vertical="center" textRotation="90"/>
    </xf>
    <xf numFmtId="1" fontId="10" fillId="8" borderId="3" xfId="4" applyNumberFormat="1" applyFont="1" applyFill="1" applyBorder="1" applyAlignment="1">
      <alignment horizontal="center" vertical="center"/>
    </xf>
    <xf numFmtId="2" fontId="11" fillId="8" borderId="3" xfId="0" applyNumberFormat="1" applyFont="1" applyFill="1" applyBorder="1" applyAlignment="1">
      <alignment horizontal="center" vertical="center"/>
    </xf>
    <xf numFmtId="2" fontId="10" fillId="8" borderId="3" xfId="4" applyNumberFormat="1" applyFont="1" applyFill="1" applyBorder="1" applyAlignment="1">
      <alignment horizontal="center" vertical="center"/>
    </xf>
    <xf numFmtId="0" fontId="10" fillId="8" borderId="3" xfId="8" applyFont="1" applyFill="1" applyBorder="1" applyAlignment="1">
      <alignment horizontal="left" vertical="top" wrapText="1"/>
    </xf>
    <xf numFmtId="4" fontId="11" fillId="8" borderId="3" xfId="1" applyNumberFormat="1" applyFont="1" applyFill="1" applyBorder="1" applyAlignment="1">
      <alignment horizontal="center" vertical="center" wrapText="1"/>
    </xf>
    <xf numFmtId="168" fontId="11" fillId="8" borderId="3" xfId="1" applyNumberFormat="1" applyFont="1" applyFill="1" applyBorder="1" applyAlignment="1">
      <alignment horizontal="center" vertical="center"/>
    </xf>
    <xf numFmtId="168" fontId="11" fillId="8" borderId="3" xfId="1" applyNumberFormat="1" applyFont="1" applyFill="1" applyBorder="1" applyAlignment="1">
      <alignment horizontal="center" vertical="top" wrapText="1"/>
    </xf>
    <xf numFmtId="168" fontId="10" fillId="8" borderId="3" xfId="1" applyNumberFormat="1" applyFont="1" applyFill="1" applyBorder="1" applyAlignment="1">
      <alignment horizontal="center" vertical="center" textRotation="90"/>
    </xf>
    <xf numFmtId="166" fontId="11" fillId="8" borderId="3" xfId="1" applyFont="1" applyFill="1" applyBorder="1" applyAlignment="1">
      <alignment horizontal="center" vertical="center"/>
    </xf>
    <xf numFmtId="4" fontId="11" fillId="8" borderId="3" xfId="1" applyNumberFormat="1" applyFont="1" applyFill="1" applyBorder="1" applyAlignment="1">
      <alignment horizontal="center" vertical="center"/>
    </xf>
    <xf numFmtId="168" fontId="11" fillId="8" borderId="3" xfId="1" applyNumberFormat="1" applyFont="1" applyFill="1" applyBorder="1" applyAlignment="1">
      <alignment horizontal="center" vertical="center" textRotation="90" wrapText="1"/>
    </xf>
    <xf numFmtId="4" fontId="10" fillId="8" borderId="3" xfId="1" applyNumberFormat="1" applyFont="1" applyFill="1" applyBorder="1" applyAlignment="1">
      <alignment horizontal="center" vertical="center"/>
    </xf>
    <xf numFmtId="168" fontId="11" fillId="8" borderId="3" xfId="1" applyNumberFormat="1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top" wrapText="1"/>
    </xf>
    <xf numFmtId="0" fontId="9" fillId="7" borderId="3" xfId="8" applyFont="1" applyFill="1" applyBorder="1" applyAlignment="1">
      <alignment horizontal="left" vertical="top" wrapText="1"/>
    </xf>
    <xf numFmtId="4" fontId="6" fillId="7" borderId="3" xfId="0" applyNumberFormat="1" applyFont="1" applyFill="1" applyBorder="1" applyAlignment="1">
      <alignment horizontal="center" vertical="center"/>
    </xf>
    <xf numFmtId="0" fontId="10" fillId="7" borderId="3" xfId="9" applyFont="1" applyFill="1" applyBorder="1" applyAlignment="1">
      <alignment horizontal="center" vertical="center" wrapText="1"/>
    </xf>
    <xf numFmtId="2" fontId="10" fillId="7" borderId="3" xfId="9" applyNumberFormat="1" applyFont="1" applyFill="1" applyBorder="1" applyAlignment="1">
      <alignment horizontal="left" vertical="center" wrapText="1"/>
    </xf>
    <xf numFmtId="164" fontId="9" fillId="7" borderId="3" xfId="5" applyNumberFormat="1" applyFont="1" applyFill="1" applyBorder="1" applyAlignment="1">
      <alignment horizontal="center" vertical="top"/>
    </xf>
    <xf numFmtId="0" fontId="10" fillId="3" borderId="3" xfId="8" applyFont="1" applyFill="1" applyBorder="1" applyAlignment="1">
      <alignment horizontal="left" vertical="top" wrapText="1"/>
    </xf>
    <xf numFmtId="4" fontId="6" fillId="3" borderId="3" xfId="0" applyNumberFormat="1" applyFont="1" applyFill="1" applyBorder="1" applyAlignment="1">
      <alignment horizontal="center" vertical="center"/>
    </xf>
    <xf numFmtId="0" fontId="10" fillId="3" borderId="3" xfId="9" applyFont="1" applyFill="1" applyBorder="1" applyAlignment="1">
      <alignment horizontal="center" vertical="center" wrapText="1"/>
    </xf>
    <xf numFmtId="0" fontId="9" fillId="3" borderId="3" xfId="4" applyFont="1" applyFill="1" applyBorder="1" applyAlignment="1">
      <alignment horizontal="center" vertical="center" textRotation="90"/>
    </xf>
    <xf numFmtId="164" fontId="9" fillId="3" borderId="3" xfId="5" applyNumberFormat="1" applyFont="1" applyFill="1" applyBorder="1" applyAlignment="1">
      <alignment horizontal="center" vertical="top"/>
    </xf>
    <xf numFmtId="0" fontId="5" fillId="3" borderId="0" xfId="0" applyFont="1" applyFill="1"/>
    <xf numFmtId="0" fontId="10" fillId="0" borderId="3" xfId="10" applyNumberFormat="1" applyFont="1" applyBorder="1" applyAlignment="1" applyProtection="1">
      <alignment horizontal="left" vertical="top" wrapText="1"/>
    </xf>
    <xf numFmtId="2" fontId="10" fillId="8" borderId="3" xfId="1" applyNumberFormat="1" applyFont="1" applyFill="1" applyBorder="1" applyAlignment="1" applyProtection="1">
      <alignment horizontal="center" vertical="center" shrinkToFit="1"/>
    </xf>
    <xf numFmtId="164" fontId="10" fillId="8" borderId="3" xfId="0" applyNumberFormat="1" applyFont="1" applyFill="1" applyBorder="1" applyAlignment="1">
      <alignment horizontal="center" vertical="center" wrapText="1"/>
    </xf>
    <xf numFmtId="168" fontId="10" fillId="8" borderId="3" xfId="1" applyNumberFormat="1" applyFont="1" applyFill="1" applyBorder="1" applyAlignment="1">
      <alignment horizontal="center" vertical="center"/>
    </xf>
    <xf numFmtId="169" fontId="10" fillId="8" borderId="3" xfId="1" applyNumberFormat="1" applyFont="1" applyFill="1" applyBorder="1" applyAlignment="1">
      <alignment horizontal="center" vertical="center"/>
    </xf>
    <xf numFmtId="169" fontId="10" fillId="8" borderId="3" xfId="1" applyNumberFormat="1" applyFont="1" applyFill="1" applyBorder="1" applyAlignment="1" applyProtection="1">
      <alignment horizontal="center" vertical="center" shrinkToFit="1"/>
    </xf>
    <xf numFmtId="4" fontId="10" fillId="8" borderId="3" xfId="1" applyNumberFormat="1" applyFont="1" applyFill="1" applyBorder="1" applyAlignment="1" applyProtection="1">
      <alignment horizontal="center" vertical="center" shrinkToFi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top" wrapText="1"/>
    </xf>
    <xf numFmtId="164" fontId="10" fillId="8" borderId="3" xfId="1" applyNumberFormat="1" applyFont="1" applyFill="1" applyBorder="1" applyAlignment="1">
      <alignment horizontal="center" vertical="center" wrapText="1"/>
    </xf>
    <xf numFmtId="168" fontId="10" fillId="8" borderId="3" xfId="1" applyNumberFormat="1" applyFont="1" applyFill="1" applyBorder="1" applyAlignment="1" applyProtection="1">
      <alignment horizontal="center" vertical="center" shrinkToFit="1"/>
    </xf>
    <xf numFmtId="168" fontId="10" fillId="8" borderId="3" xfId="1" applyNumberFormat="1" applyFont="1" applyFill="1" applyBorder="1" applyAlignment="1">
      <alignment horizontal="center" vertical="center" wrapText="1"/>
    </xf>
    <xf numFmtId="2" fontId="9" fillId="8" borderId="3" xfId="1" applyNumberFormat="1" applyFont="1" applyFill="1" applyBorder="1" applyAlignment="1" applyProtection="1">
      <alignment horizontal="center" vertical="center" shrinkToFit="1"/>
    </xf>
    <xf numFmtId="0" fontId="9" fillId="8" borderId="3" xfId="0" applyFont="1" applyFill="1" applyBorder="1" applyAlignment="1">
      <alignment horizontal="center" vertical="center" wrapText="1"/>
    </xf>
    <xf numFmtId="168" fontId="9" fillId="8" borderId="3" xfId="1" applyNumberFormat="1" applyFont="1" applyFill="1" applyBorder="1" applyAlignment="1">
      <alignment horizontal="center" vertical="center" textRotation="90"/>
    </xf>
    <xf numFmtId="168" fontId="9" fillId="8" borderId="3" xfId="1" applyNumberFormat="1" applyFont="1" applyFill="1" applyBorder="1" applyAlignment="1">
      <alignment horizontal="center" vertical="center"/>
    </xf>
    <xf numFmtId="169" fontId="9" fillId="8" borderId="3" xfId="1" applyNumberFormat="1" applyFont="1" applyFill="1" applyBorder="1" applyAlignment="1">
      <alignment horizontal="center" vertical="center"/>
    </xf>
    <xf numFmtId="0" fontId="19" fillId="0" borderId="0" xfId="0" applyFont="1"/>
    <xf numFmtId="0" fontId="10" fillId="0" borderId="3" xfId="10" applyNumberFormat="1" applyFont="1" applyFill="1" applyBorder="1" applyAlignment="1" applyProtection="1">
      <alignment horizontal="left" vertical="top" wrapText="1"/>
    </xf>
    <xf numFmtId="49" fontId="6" fillId="3" borderId="1" xfId="4" applyNumberFormat="1" applyFont="1" applyFill="1" applyBorder="1" applyAlignment="1">
      <alignment horizontal="center" vertical="center" wrapText="1"/>
    </xf>
    <xf numFmtId="49" fontId="6" fillId="3" borderId="2" xfId="4" applyNumberFormat="1" applyFont="1" applyFill="1" applyBorder="1" applyAlignment="1">
      <alignment horizontal="center" vertical="center" wrapText="1"/>
    </xf>
    <xf numFmtId="49" fontId="6" fillId="3" borderId="16" xfId="4" applyNumberFormat="1" applyFont="1" applyFill="1" applyBorder="1" applyAlignment="1">
      <alignment horizontal="center" vertical="center" wrapText="1"/>
    </xf>
    <xf numFmtId="0" fontId="10" fillId="8" borderId="14" xfId="4" applyFont="1" applyFill="1" applyBorder="1" applyAlignment="1">
      <alignment horizontal="left" vertical="top" wrapText="1"/>
    </xf>
    <xf numFmtId="0" fontId="10" fillId="8" borderId="14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vertical="top" wrapText="1"/>
    </xf>
    <xf numFmtId="166" fontId="9" fillId="8" borderId="3" xfId="1" applyNumberFormat="1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 vertical="center" wrapText="1"/>
    </xf>
    <xf numFmtId="4" fontId="9" fillId="8" borderId="3" xfId="1" applyNumberFormat="1" applyFont="1" applyFill="1" applyBorder="1" applyAlignment="1">
      <alignment horizontal="center" vertical="center"/>
    </xf>
    <xf numFmtId="166" fontId="10" fillId="8" borderId="3" xfId="1" applyNumberFormat="1" applyFont="1" applyFill="1" applyBorder="1" applyAlignment="1">
      <alignment horizontal="center" vertical="center"/>
    </xf>
    <xf numFmtId="164" fontId="10" fillId="8" borderId="3" xfId="11" applyNumberFormat="1" applyFont="1" applyFill="1" applyBorder="1" applyAlignment="1">
      <alignment horizontal="center" vertical="center"/>
    </xf>
    <xf numFmtId="164" fontId="11" fillId="8" borderId="3" xfId="0" applyNumberFormat="1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left" vertical="top" wrapText="1"/>
    </xf>
    <xf numFmtId="0" fontId="20" fillId="7" borderId="3" xfId="0" applyFont="1" applyFill="1" applyBorder="1" applyAlignment="1">
      <alignment horizontal="center" vertical="top" wrapText="1"/>
    </xf>
    <xf numFmtId="49" fontId="20" fillId="7" borderId="3" xfId="0" applyNumberFormat="1" applyFont="1" applyFill="1" applyBorder="1" applyAlignment="1">
      <alignment horizontal="center" vertical="top" wrapText="1"/>
    </xf>
    <xf numFmtId="3" fontId="20" fillId="7" borderId="3" xfId="0" applyNumberFormat="1" applyFont="1" applyFill="1" applyBorder="1" applyAlignment="1">
      <alignment horizontal="center" vertical="top" wrapText="1"/>
    </xf>
    <xf numFmtId="166" fontId="9" fillId="7" borderId="3" xfId="1" applyNumberFormat="1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top" wrapText="1"/>
    </xf>
    <xf numFmtId="0" fontId="9" fillId="7" borderId="3" xfId="0" applyFont="1" applyFill="1" applyBorder="1" applyAlignment="1">
      <alignment horizontal="left" vertical="top" wrapText="1"/>
    </xf>
    <xf numFmtId="0" fontId="9" fillId="7" borderId="3" xfId="0" applyFont="1" applyFill="1" applyBorder="1" applyAlignment="1">
      <alignment horizontal="center" vertical="center" textRotation="90" wrapText="1"/>
    </xf>
    <xf numFmtId="168" fontId="9" fillId="7" borderId="3" xfId="1" applyNumberFormat="1" applyFont="1" applyFill="1" applyBorder="1" applyAlignment="1">
      <alignment horizontal="center" vertical="center"/>
    </xf>
    <xf numFmtId="164" fontId="9" fillId="7" borderId="3" xfId="11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vertical="top" wrapText="1"/>
    </xf>
    <xf numFmtId="0" fontId="13" fillId="8" borderId="6" xfId="0" applyFont="1" applyFill="1" applyBorder="1" applyAlignment="1">
      <alignment vertical="top" wrapText="1"/>
    </xf>
    <xf numFmtId="0" fontId="13" fillId="8" borderId="5" xfId="0" applyFont="1" applyFill="1" applyBorder="1" applyAlignment="1">
      <alignment vertical="top" wrapText="1"/>
    </xf>
    <xf numFmtId="0" fontId="13" fillId="3" borderId="3" xfId="0" applyFont="1" applyFill="1" applyBorder="1" applyAlignment="1">
      <alignment horizontal="left" vertical="top" wrapText="1"/>
    </xf>
    <xf numFmtId="4" fontId="9" fillId="3" borderId="3" xfId="1" applyNumberFormat="1" applyFont="1" applyFill="1" applyBorder="1" applyAlignment="1">
      <alignment horizontal="center" vertical="center" wrapText="1"/>
    </xf>
    <xf numFmtId="166" fontId="9" fillId="3" borderId="3" xfId="1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top" wrapText="1"/>
    </xf>
    <xf numFmtId="168" fontId="9" fillId="3" borderId="3" xfId="1" applyNumberFormat="1" applyFont="1" applyFill="1" applyBorder="1" applyAlignment="1">
      <alignment horizontal="center" vertical="center"/>
    </xf>
    <xf numFmtId="164" fontId="9" fillId="3" borderId="3" xfId="11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/>
    <xf numFmtId="4" fontId="10" fillId="3" borderId="3" xfId="1" applyNumberFormat="1" applyFont="1" applyFill="1" applyBorder="1" applyAlignment="1">
      <alignment horizontal="center" vertical="center" wrapText="1"/>
    </xf>
    <xf numFmtId="166" fontId="10" fillId="3" borderId="3" xfId="1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top" wrapText="1"/>
    </xf>
    <xf numFmtId="168" fontId="10" fillId="3" borderId="3" xfId="1" applyNumberFormat="1" applyFont="1" applyFill="1" applyBorder="1" applyAlignment="1">
      <alignment horizontal="center" vertical="center"/>
    </xf>
    <xf numFmtId="164" fontId="10" fillId="3" borderId="3" xfId="11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0" fontId="21" fillId="7" borderId="15" xfId="12" applyNumberFormat="1" applyFont="1" applyFill="1" applyAlignment="1" applyProtection="1">
      <alignment horizontal="left" vertical="top" wrapText="1"/>
    </xf>
    <xf numFmtId="0" fontId="9" fillId="7" borderId="14" xfId="0" applyFont="1" applyFill="1" applyBorder="1" applyAlignment="1">
      <alignment horizontal="center" vertical="top" wrapText="1"/>
    </xf>
    <xf numFmtId="0" fontId="9" fillId="7" borderId="14" xfId="0" applyFont="1" applyFill="1" applyBorder="1" applyAlignment="1">
      <alignment horizontal="center" vertical="center" textRotation="90" wrapText="1"/>
    </xf>
    <xf numFmtId="4" fontId="11" fillId="7" borderId="3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horizontal="center" vertical="top" wrapText="1"/>
    </xf>
    <xf numFmtId="0" fontId="20" fillId="3" borderId="16" xfId="0" applyFont="1" applyFill="1" applyBorder="1" applyAlignment="1">
      <alignment horizontal="center" vertical="top" wrapText="1"/>
    </xf>
    <xf numFmtId="0" fontId="10" fillId="3" borderId="14" xfId="4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center" vertical="center" textRotation="90" wrapText="1"/>
    </xf>
    <xf numFmtId="168" fontId="9" fillId="9" borderId="3" xfId="1" applyNumberFormat="1" applyFont="1" applyFill="1" applyBorder="1" applyAlignment="1">
      <alignment horizontal="center" vertical="center" wrapText="1"/>
    </xf>
    <xf numFmtId="168" fontId="9" fillId="9" borderId="3" xfId="1" applyNumberFormat="1" applyFont="1" applyFill="1" applyBorder="1" applyAlignment="1">
      <alignment horizontal="center" vertical="center"/>
    </xf>
    <xf numFmtId="164" fontId="9" fillId="9" borderId="3" xfId="0" applyNumberFormat="1" applyFont="1" applyFill="1" applyBorder="1" applyAlignment="1">
      <alignment horizontal="center" vertical="center" wrapText="1"/>
    </xf>
    <xf numFmtId="164" fontId="6" fillId="9" borderId="3" xfId="0" applyNumberFormat="1" applyFont="1" applyFill="1" applyBorder="1" applyAlignment="1">
      <alignment horizontal="center" vertical="center"/>
    </xf>
    <xf numFmtId="4" fontId="6" fillId="9" borderId="3" xfId="0" applyNumberFormat="1" applyFont="1" applyFill="1" applyBorder="1" applyAlignment="1">
      <alignment horizontal="center" vertical="center"/>
    </xf>
    <xf numFmtId="0" fontId="9" fillId="7" borderId="3" xfId="0" applyNumberFormat="1" applyFont="1" applyFill="1" applyBorder="1" applyAlignment="1">
      <alignment horizontal="center" vertical="center" wrapText="1"/>
    </xf>
    <xf numFmtId="49" fontId="9" fillId="7" borderId="3" xfId="0" applyNumberFormat="1" applyFont="1" applyFill="1" applyBorder="1" applyAlignment="1">
      <alignment horizontal="center" vertical="center" wrapText="1"/>
    </xf>
    <xf numFmtId="168" fontId="9" fillId="7" borderId="3" xfId="1" applyNumberFormat="1" applyFont="1" applyFill="1" applyBorder="1" applyAlignment="1">
      <alignment horizontal="center" vertical="center" wrapText="1"/>
    </xf>
    <xf numFmtId="164" fontId="9" fillId="7" borderId="3" xfId="0" applyNumberFormat="1" applyFont="1" applyFill="1" applyBorder="1" applyAlignment="1">
      <alignment horizontal="center" vertical="center" wrapText="1"/>
    </xf>
    <xf numFmtId="164" fontId="9" fillId="7" borderId="3" xfId="0" applyNumberFormat="1" applyFont="1" applyFill="1" applyBorder="1" applyAlignment="1">
      <alignment horizontal="center" vertical="center"/>
    </xf>
    <xf numFmtId="4" fontId="9" fillId="7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9" fillId="10" borderId="3" xfId="13" applyFont="1" applyFill="1" applyBorder="1" applyAlignment="1">
      <alignment vertical="center" wrapText="1"/>
    </xf>
    <xf numFmtId="0" fontId="9" fillId="10" borderId="3" xfId="13" applyFont="1" applyFill="1" applyBorder="1" applyAlignment="1">
      <alignment horizontal="center" vertical="center" wrapText="1"/>
    </xf>
    <xf numFmtId="4" fontId="11" fillId="10" borderId="3" xfId="0" applyNumberFormat="1" applyFont="1" applyFill="1" applyBorder="1" applyAlignment="1">
      <alignment horizontal="center" vertical="center" wrapText="1"/>
    </xf>
    <xf numFmtId="4" fontId="6" fillId="10" borderId="3" xfId="0" applyNumberFormat="1" applyFont="1" applyFill="1" applyBorder="1" applyAlignment="1">
      <alignment horizontal="center" vertical="center" wrapText="1"/>
    </xf>
    <xf numFmtId="0" fontId="6" fillId="7" borderId="3" xfId="13" applyFont="1" applyFill="1" applyBorder="1" applyAlignment="1">
      <alignment vertical="top" wrapText="1"/>
    </xf>
    <xf numFmtId="49" fontId="6" fillId="7" borderId="3" xfId="13" applyNumberFormat="1" applyFont="1" applyFill="1" applyBorder="1" applyAlignment="1">
      <alignment horizontal="center" vertical="center" wrapText="1"/>
    </xf>
    <xf numFmtId="0" fontId="9" fillId="7" borderId="3" xfId="13" applyFont="1" applyFill="1" applyBorder="1" applyAlignment="1">
      <alignment horizontal="left" vertical="top" wrapText="1"/>
    </xf>
    <xf numFmtId="4" fontId="9" fillId="7" borderId="3" xfId="13" applyNumberFormat="1" applyFont="1" applyFill="1" applyBorder="1" applyAlignment="1">
      <alignment horizontal="center" vertical="center" wrapText="1"/>
    </xf>
    <xf numFmtId="4" fontId="9" fillId="7" borderId="3" xfId="13" applyNumberFormat="1" applyFont="1" applyFill="1" applyBorder="1" applyAlignment="1">
      <alignment horizontal="center" vertical="center" textRotation="90" wrapText="1"/>
    </xf>
    <xf numFmtId="164" fontId="9" fillId="7" borderId="3" xfId="13" applyNumberFormat="1" applyFont="1" applyFill="1" applyBorder="1" applyAlignment="1">
      <alignment vertical="center" wrapText="1"/>
    </xf>
    <xf numFmtId="4" fontId="9" fillId="7" borderId="3" xfId="13" applyNumberFormat="1" applyFont="1" applyFill="1" applyBorder="1" applyAlignment="1">
      <alignment vertical="center" wrapText="1"/>
    </xf>
    <xf numFmtId="4" fontId="9" fillId="8" borderId="3" xfId="13" applyNumberFormat="1" applyFont="1" applyFill="1" applyBorder="1" applyAlignment="1">
      <alignment horizontal="center" vertical="top" wrapText="1"/>
    </xf>
    <xf numFmtId="0" fontId="9" fillId="8" borderId="3" xfId="13" applyFont="1" applyFill="1" applyBorder="1" applyAlignment="1">
      <alignment horizontal="center" vertical="top" wrapText="1"/>
    </xf>
    <xf numFmtId="0" fontId="10" fillId="8" borderId="3" xfId="13" applyFont="1" applyFill="1" applyBorder="1" applyAlignment="1">
      <alignment horizontal="left" vertical="top" wrapText="1"/>
    </xf>
    <xf numFmtId="0" fontId="9" fillId="8" borderId="3" xfId="13" applyFont="1" applyFill="1" applyBorder="1" applyAlignment="1">
      <alignment horizontal="center" vertical="center" textRotation="90" wrapText="1"/>
    </xf>
    <xf numFmtId="3" fontId="9" fillId="8" borderId="3" xfId="13" applyNumberFormat="1" applyFont="1" applyFill="1" applyBorder="1" applyAlignment="1">
      <alignment horizontal="center" vertical="top" wrapText="1"/>
    </xf>
    <xf numFmtId="164" fontId="10" fillId="8" borderId="3" xfId="13" applyNumberFormat="1" applyFont="1" applyFill="1" applyBorder="1" applyAlignment="1">
      <alignment horizontal="center" vertical="top" wrapText="1"/>
    </xf>
    <xf numFmtId="164" fontId="9" fillId="8" borderId="3" xfId="13" applyNumberFormat="1" applyFont="1" applyFill="1" applyBorder="1" applyAlignment="1">
      <alignment vertical="top" wrapText="1"/>
    </xf>
    <xf numFmtId="4" fontId="9" fillId="8" borderId="3" xfId="13" applyNumberFormat="1" applyFont="1" applyFill="1" applyBorder="1" applyAlignment="1">
      <alignment vertical="top" wrapText="1"/>
    </xf>
    <xf numFmtId="4" fontId="9" fillId="8" borderId="3" xfId="13" applyNumberFormat="1" applyFont="1" applyFill="1" applyBorder="1" applyAlignment="1">
      <alignment horizontal="center" vertical="center" wrapText="1"/>
    </xf>
    <xf numFmtId="0" fontId="10" fillId="8" borderId="3" xfId="13" applyFont="1" applyFill="1" applyBorder="1" applyAlignment="1">
      <alignment horizontal="left" vertical="top"/>
    </xf>
    <xf numFmtId="0" fontId="10" fillId="8" borderId="3" xfId="13" applyFont="1" applyFill="1" applyBorder="1" applyAlignment="1">
      <alignment horizontal="center" vertical="center" textRotation="90" wrapText="1"/>
    </xf>
    <xf numFmtId="3" fontId="10" fillId="8" borderId="3" xfId="13" applyNumberFormat="1" applyFont="1" applyFill="1" applyBorder="1" applyAlignment="1">
      <alignment horizontal="center" vertical="center" wrapText="1"/>
    </xf>
    <xf numFmtId="4" fontId="10" fillId="8" borderId="3" xfId="13" applyNumberFormat="1" applyFont="1" applyFill="1" applyBorder="1" applyAlignment="1">
      <alignment horizontal="center" vertical="center" wrapText="1"/>
    </xf>
    <xf numFmtId="164" fontId="10" fillId="8" borderId="3" xfId="13" applyNumberFormat="1" applyFont="1" applyFill="1" applyBorder="1" applyAlignment="1">
      <alignment horizontal="center" vertical="center" wrapText="1"/>
    </xf>
    <xf numFmtId="164" fontId="9" fillId="8" borderId="3" xfId="13" applyNumberFormat="1" applyFont="1" applyFill="1" applyBorder="1" applyAlignment="1">
      <alignment vertical="center" wrapText="1"/>
    </xf>
    <xf numFmtId="0" fontId="11" fillId="11" borderId="3" xfId="0" applyFont="1" applyFill="1" applyBorder="1" applyAlignment="1">
      <alignment vertical="top" wrapText="1"/>
    </xf>
    <xf numFmtId="0" fontId="10" fillId="11" borderId="3" xfId="13" applyFont="1" applyFill="1" applyBorder="1" applyAlignment="1">
      <alignment horizontal="center" vertical="center" textRotation="90" wrapText="1"/>
    </xf>
    <xf numFmtId="4" fontId="10" fillId="11" borderId="3" xfId="13" applyNumberFormat="1" applyFont="1" applyFill="1" applyBorder="1" applyAlignment="1">
      <alignment horizontal="center" vertical="top" wrapText="1"/>
    </xf>
    <xf numFmtId="164" fontId="11" fillId="11" borderId="3" xfId="0" applyNumberFormat="1" applyFont="1" applyFill="1" applyBorder="1" applyAlignment="1">
      <alignment vertical="top"/>
    </xf>
    <xf numFmtId="4" fontId="10" fillId="11" borderId="3" xfId="13" applyNumberFormat="1" applyFont="1" applyFill="1" applyBorder="1" applyAlignment="1">
      <alignment vertical="top" wrapText="1"/>
    </xf>
    <xf numFmtId="4" fontId="11" fillId="11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10" fillId="8" borderId="3" xfId="13" applyNumberFormat="1" applyFont="1" applyFill="1" applyBorder="1" applyAlignment="1">
      <alignment horizontal="center" vertical="top" wrapText="1"/>
    </xf>
    <xf numFmtId="164" fontId="11" fillId="8" borderId="3" xfId="0" applyNumberFormat="1" applyFont="1" applyFill="1" applyBorder="1" applyAlignment="1">
      <alignment vertical="top"/>
    </xf>
    <xf numFmtId="4" fontId="10" fillId="8" borderId="3" xfId="13" applyNumberFormat="1" applyFont="1" applyFill="1" applyBorder="1" applyAlignment="1">
      <alignment vertical="top" wrapText="1"/>
    </xf>
    <xf numFmtId="164" fontId="9" fillId="8" borderId="3" xfId="13" applyNumberFormat="1" applyFont="1" applyFill="1" applyBorder="1" applyAlignment="1">
      <alignment horizontal="center" vertical="top" wrapText="1"/>
    </xf>
    <xf numFmtId="0" fontId="10" fillId="11" borderId="3" xfId="13" applyFont="1" applyFill="1" applyBorder="1" applyAlignment="1">
      <alignment horizontal="left" vertical="top" wrapText="1"/>
    </xf>
    <xf numFmtId="3" fontId="9" fillId="11" borderId="3" xfId="13" applyNumberFormat="1" applyFont="1" applyFill="1" applyBorder="1" applyAlignment="1">
      <alignment horizontal="center" vertical="top" wrapText="1"/>
    </xf>
    <xf numFmtId="4" fontId="9" fillId="11" borderId="3" xfId="13" applyNumberFormat="1" applyFont="1" applyFill="1" applyBorder="1" applyAlignment="1">
      <alignment horizontal="center" vertical="top" wrapText="1"/>
    </xf>
    <xf numFmtId="164" fontId="9" fillId="11" borderId="3" xfId="13" applyNumberFormat="1" applyFont="1" applyFill="1" applyBorder="1" applyAlignment="1">
      <alignment horizontal="center" vertical="top" wrapText="1"/>
    </xf>
    <xf numFmtId="164" fontId="9" fillId="11" borderId="3" xfId="13" applyNumberFormat="1" applyFont="1" applyFill="1" applyBorder="1" applyAlignment="1">
      <alignment vertical="top" wrapText="1"/>
    </xf>
    <xf numFmtId="4" fontId="9" fillId="11" borderId="3" xfId="13" applyNumberFormat="1" applyFont="1" applyFill="1" applyBorder="1" applyAlignment="1">
      <alignment horizontal="center" vertical="center" wrapText="1"/>
    </xf>
    <xf numFmtId="164" fontId="9" fillId="7" borderId="3" xfId="13" applyNumberFormat="1" applyFont="1" applyFill="1" applyBorder="1" applyAlignment="1">
      <alignment horizontal="center" vertical="center"/>
    </xf>
    <xf numFmtId="164" fontId="9" fillId="7" borderId="3" xfId="13" applyNumberFormat="1" applyFont="1" applyFill="1" applyBorder="1" applyAlignment="1">
      <alignment horizontal="center" vertical="center" textRotation="90"/>
    </xf>
    <xf numFmtId="164" fontId="9" fillId="7" borderId="3" xfId="13" applyNumberFormat="1" applyFont="1" applyFill="1" applyBorder="1" applyAlignment="1">
      <alignment vertical="center"/>
    </xf>
    <xf numFmtId="4" fontId="9" fillId="7" borderId="3" xfId="13" applyNumberFormat="1" applyFont="1" applyFill="1" applyBorder="1" applyAlignment="1">
      <alignment horizontal="center" vertical="center"/>
    </xf>
    <xf numFmtId="164" fontId="9" fillId="8" borderId="3" xfId="13" applyNumberFormat="1" applyFont="1" applyFill="1" applyBorder="1" applyAlignment="1">
      <alignment horizontal="left" vertical="center"/>
    </xf>
    <xf numFmtId="164" fontId="9" fillId="8" borderId="3" xfId="13" applyNumberFormat="1" applyFont="1" applyFill="1" applyBorder="1" applyAlignment="1">
      <alignment horizontal="center" vertical="center" textRotation="90"/>
    </xf>
    <xf numFmtId="164" fontId="9" fillId="8" borderId="3" xfId="13" applyNumberFormat="1" applyFont="1" applyFill="1" applyBorder="1" applyAlignment="1">
      <alignment horizontal="center" vertical="center"/>
    </xf>
    <xf numFmtId="164" fontId="9" fillId="8" borderId="3" xfId="13" applyNumberFormat="1" applyFont="1" applyFill="1" applyBorder="1" applyAlignment="1">
      <alignment vertical="center"/>
    </xf>
    <xf numFmtId="4" fontId="9" fillId="8" borderId="3" xfId="13" applyNumberFormat="1" applyFont="1" applyFill="1" applyBorder="1" applyAlignment="1">
      <alignment horizontal="center" vertical="center"/>
    </xf>
    <xf numFmtId="0" fontId="10" fillId="0" borderId="3" xfId="4" applyFont="1" applyBorder="1" applyAlignment="1">
      <alignment horizontal="left" vertical="top" wrapText="1"/>
    </xf>
    <xf numFmtId="0" fontId="10" fillId="0" borderId="3" xfId="4" applyFont="1" applyBorder="1" applyAlignment="1">
      <alignment horizontal="center" vertical="center" textRotation="90" wrapText="1"/>
    </xf>
    <xf numFmtId="2" fontId="9" fillId="8" borderId="3" xfId="13" applyNumberFormat="1" applyFont="1" applyFill="1" applyBorder="1" applyAlignment="1">
      <alignment horizontal="center" vertical="center" wrapText="1"/>
    </xf>
    <xf numFmtId="1" fontId="10" fillId="8" borderId="3" xfId="13" applyNumberFormat="1" applyFont="1" applyFill="1" applyBorder="1" applyAlignment="1">
      <alignment horizontal="center" vertical="top"/>
    </xf>
    <xf numFmtId="2" fontId="10" fillId="8" borderId="3" xfId="13" applyNumberFormat="1" applyFont="1" applyFill="1" applyBorder="1" applyAlignment="1">
      <alignment horizontal="center" vertical="center" wrapText="1"/>
    </xf>
    <xf numFmtId="4" fontId="10" fillId="8" borderId="3" xfId="13" applyNumberFormat="1" applyFont="1" applyFill="1" applyBorder="1" applyAlignment="1">
      <alignment horizontal="center" vertical="center"/>
    </xf>
    <xf numFmtId="164" fontId="11" fillId="8" borderId="3" xfId="0" applyNumberFormat="1" applyFont="1" applyFill="1" applyBorder="1" applyAlignment="1">
      <alignment vertical="center"/>
    </xf>
    <xf numFmtId="2" fontId="10" fillId="8" borderId="3" xfId="13" applyNumberFormat="1" applyFont="1" applyFill="1" applyBorder="1" applyAlignment="1">
      <alignment vertical="center"/>
    </xf>
    <xf numFmtId="2" fontId="10" fillId="0" borderId="3" xfId="4" applyNumberFormat="1" applyFont="1" applyBorder="1" applyAlignment="1">
      <alignment horizontal="center" vertical="center" textRotation="90" wrapText="1"/>
    </xf>
    <xf numFmtId="0" fontId="9" fillId="12" borderId="3" xfId="13" applyFont="1" applyFill="1" applyBorder="1" applyAlignment="1">
      <alignment horizontal="left" vertical="top" wrapText="1"/>
    </xf>
    <xf numFmtId="4" fontId="10" fillId="12" borderId="3" xfId="13" applyNumberFormat="1" applyFont="1" applyFill="1" applyBorder="1" applyAlignment="1">
      <alignment horizontal="center" vertical="center" wrapText="1"/>
    </xf>
    <xf numFmtId="0" fontId="10" fillId="12" borderId="3" xfId="13" applyFont="1" applyFill="1" applyBorder="1" applyAlignment="1">
      <alignment horizontal="center" vertical="top" wrapText="1"/>
    </xf>
    <xf numFmtId="4" fontId="10" fillId="12" borderId="3" xfId="13" applyNumberFormat="1" applyFont="1" applyFill="1" applyBorder="1" applyAlignment="1">
      <alignment horizontal="center" vertical="center" textRotation="90"/>
    </xf>
    <xf numFmtId="4" fontId="10" fillId="12" borderId="3" xfId="13" applyNumberFormat="1" applyFont="1" applyFill="1" applyBorder="1" applyAlignment="1">
      <alignment horizontal="center" vertical="top"/>
    </xf>
    <xf numFmtId="164" fontId="10" fillId="12" borderId="3" xfId="13" applyNumberFormat="1" applyFont="1" applyFill="1" applyBorder="1" applyAlignment="1">
      <alignment vertical="top"/>
    </xf>
    <xf numFmtId="4" fontId="10" fillId="12" borderId="3" xfId="13" applyNumberFormat="1" applyFont="1" applyFill="1" applyBorder="1" applyAlignment="1">
      <alignment vertical="top"/>
    </xf>
    <xf numFmtId="4" fontId="10" fillId="12" borderId="3" xfId="13" applyNumberFormat="1" applyFont="1" applyFill="1" applyBorder="1" applyAlignment="1">
      <alignment horizontal="center" vertical="center"/>
    </xf>
    <xf numFmtId="0" fontId="9" fillId="0" borderId="3" xfId="13" applyFont="1" applyBorder="1" applyAlignment="1">
      <alignment horizontal="left" vertical="top" wrapText="1"/>
    </xf>
    <xf numFmtId="0" fontId="10" fillId="0" borderId="3" xfId="13" applyFont="1" applyFill="1" applyBorder="1" applyAlignment="1">
      <alignment horizontal="center" vertical="center" textRotation="90"/>
    </xf>
    <xf numFmtId="3" fontId="22" fillId="0" borderId="3" xfId="13" applyNumberFormat="1" applyFont="1" applyFill="1" applyBorder="1" applyAlignment="1">
      <alignment horizontal="center" vertical="top"/>
    </xf>
    <xf numFmtId="164" fontId="22" fillId="0" borderId="3" xfId="13" applyNumberFormat="1" applyFont="1" applyFill="1" applyBorder="1" applyAlignment="1">
      <alignment vertical="top"/>
    </xf>
    <xf numFmtId="3" fontId="22" fillId="0" borderId="3" xfId="13" applyNumberFormat="1" applyFont="1" applyFill="1" applyBorder="1" applyAlignment="1">
      <alignment vertical="top"/>
    </xf>
    <xf numFmtId="4" fontId="22" fillId="0" borderId="3" xfId="13" applyNumberFormat="1" applyFont="1" applyFill="1" applyBorder="1" applyAlignment="1">
      <alignment horizontal="center" vertical="center"/>
    </xf>
    <xf numFmtId="0" fontId="23" fillId="0" borderId="3" xfId="13" applyFont="1" applyFill="1" applyBorder="1" applyAlignment="1">
      <alignment vertical="center" wrapText="1"/>
    </xf>
    <xf numFmtId="4" fontId="24" fillId="0" borderId="3" xfId="13" applyNumberFormat="1" applyFont="1" applyFill="1" applyBorder="1" applyAlignment="1">
      <alignment horizontal="center" vertical="center" textRotation="90"/>
    </xf>
    <xf numFmtId="3" fontId="25" fillId="0" borderId="3" xfId="13" applyNumberFormat="1" applyFont="1" applyBorder="1" applyAlignment="1">
      <alignment horizontal="center" vertical="center"/>
    </xf>
    <xf numFmtId="3" fontId="25" fillId="0" borderId="3" xfId="13" applyNumberFormat="1" applyFont="1" applyFill="1" applyBorder="1" applyAlignment="1">
      <alignment horizontal="center" vertical="center"/>
    </xf>
    <xf numFmtId="164" fontId="25" fillId="0" borderId="3" xfId="13" applyNumberFormat="1" applyFont="1" applyBorder="1" applyAlignment="1">
      <alignment vertical="center"/>
    </xf>
    <xf numFmtId="4" fontId="25" fillId="0" borderId="3" xfId="13" applyNumberFormat="1" applyFont="1" applyBorder="1" applyAlignment="1">
      <alignment horizontal="center" vertical="center"/>
    </xf>
    <xf numFmtId="0" fontId="10" fillId="0" borderId="3" xfId="13" applyFont="1" applyFill="1" applyBorder="1" applyAlignment="1">
      <alignment vertical="center" wrapText="1"/>
    </xf>
    <xf numFmtId="4" fontId="10" fillId="0" borderId="3" xfId="13" applyNumberFormat="1" applyFont="1" applyFill="1" applyBorder="1" applyAlignment="1">
      <alignment horizontal="center" vertical="center" textRotation="90"/>
    </xf>
    <xf numFmtId="3" fontId="10" fillId="0" borderId="3" xfId="13" applyNumberFormat="1" applyFont="1" applyFill="1" applyBorder="1" applyAlignment="1">
      <alignment horizontal="center" vertical="center"/>
    </xf>
    <xf numFmtId="3" fontId="10" fillId="0" borderId="3" xfId="13" applyNumberFormat="1" applyFont="1" applyBorder="1" applyAlignment="1">
      <alignment horizontal="center" vertical="center"/>
    </xf>
    <xf numFmtId="164" fontId="10" fillId="0" borderId="3" xfId="13" applyNumberFormat="1" applyFont="1" applyBorder="1" applyAlignment="1">
      <alignment vertical="center"/>
    </xf>
    <xf numFmtId="3" fontId="10" fillId="0" borderId="3" xfId="13" applyNumberFormat="1" applyFont="1" applyBorder="1" applyAlignment="1">
      <alignment vertical="center"/>
    </xf>
    <xf numFmtId="0" fontId="13" fillId="0" borderId="3" xfId="13" applyFont="1" applyFill="1" applyBorder="1" applyAlignment="1">
      <alignment vertical="center" wrapText="1"/>
    </xf>
    <xf numFmtId="4" fontId="10" fillId="0" borderId="3" xfId="13" applyNumberFormat="1" applyFont="1" applyBorder="1" applyAlignment="1">
      <alignment vertical="center"/>
    </xf>
    <xf numFmtId="164" fontId="25" fillId="0" borderId="3" xfId="13" applyNumberFormat="1" applyFont="1" applyFill="1" applyBorder="1" applyAlignment="1">
      <alignment vertical="center"/>
    </xf>
    <xf numFmtId="4" fontId="25" fillId="0" borderId="3" xfId="13" applyNumberFormat="1" applyFont="1" applyFill="1" applyBorder="1" applyAlignment="1">
      <alignment horizontal="center" vertical="center"/>
    </xf>
    <xf numFmtId="4" fontId="10" fillId="0" borderId="3" xfId="13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26" fillId="0" borderId="3" xfId="13" applyFont="1" applyFill="1" applyBorder="1" applyAlignment="1">
      <alignment vertical="center" wrapText="1"/>
    </xf>
    <xf numFmtId="3" fontId="22" fillId="0" borderId="3" xfId="13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top"/>
    </xf>
    <xf numFmtId="1" fontId="10" fillId="0" borderId="3" xfId="13" applyNumberFormat="1" applyFont="1" applyFill="1" applyBorder="1" applyAlignment="1">
      <alignment horizontal="center" vertical="center"/>
    </xf>
    <xf numFmtId="0" fontId="27" fillId="0" borderId="3" xfId="13" applyFont="1" applyFill="1" applyBorder="1" applyAlignment="1">
      <alignment vertical="center" wrapText="1"/>
    </xf>
    <xf numFmtId="0" fontId="10" fillId="0" borderId="3" xfId="13" applyFont="1" applyBorder="1" applyAlignment="1">
      <alignment horizontal="center" vertical="top" wrapText="1"/>
    </xf>
    <xf numFmtId="0" fontId="10" fillId="0" borderId="3" xfId="13" applyFont="1" applyBorder="1" applyAlignment="1">
      <alignment horizontal="center" vertical="center" textRotation="90"/>
    </xf>
    <xf numFmtId="164" fontId="10" fillId="8" borderId="3" xfId="14" applyNumberFormat="1" applyFont="1" applyFill="1" applyBorder="1" applyAlignment="1">
      <alignment horizontal="center" vertical="center" wrapText="1"/>
    </xf>
    <xf numFmtId="164" fontId="9" fillId="8" borderId="3" xfId="14" applyNumberFormat="1" applyFont="1" applyFill="1" applyBorder="1" applyAlignment="1">
      <alignment vertical="center" wrapText="1"/>
    </xf>
    <xf numFmtId="170" fontId="10" fillId="0" borderId="3" xfId="6" applyNumberFormat="1" applyFont="1" applyBorder="1" applyAlignment="1">
      <alignment horizontal="center" vertical="center" textRotation="90"/>
    </xf>
    <xf numFmtId="3" fontId="10" fillId="0" borderId="3" xfId="6" applyNumberFormat="1" applyFont="1" applyBorder="1" applyAlignment="1">
      <alignment horizontal="center" vertical="top"/>
    </xf>
    <xf numFmtId="164" fontId="10" fillId="0" borderId="3" xfId="14" applyNumberFormat="1" applyFont="1" applyFill="1" applyBorder="1" applyAlignment="1">
      <alignment horizontal="center" vertical="top" wrapText="1"/>
    </xf>
    <xf numFmtId="164" fontId="11" fillId="0" borderId="3" xfId="0" applyNumberFormat="1" applyFont="1" applyBorder="1" applyAlignment="1"/>
    <xf numFmtId="4" fontId="10" fillId="0" borderId="3" xfId="14" applyNumberFormat="1" applyFont="1" applyFill="1" applyBorder="1" applyAlignment="1">
      <alignment vertical="center" wrapText="1"/>
    </xf>
    <xf numFmtId="4" fontId="10" fillId="0" borderId="3" xfId="0" applyNumberFormat="1" applyFont="1" applyBorder="1" applyAlignment="1">
      <alignment vertical="center"/>
    </xf>
    <xf numFmtId="0" fontId="10" fillId="0" borderId="3" xfId="13" applyNumberFormat="1" applyFont="1" applyBorder="1" applyAlignment="1">
      <alignment horizontal="center" vertical="top" wrapText="1"/>
    </xf>
    <xf numFmtId="4" fontId="10" fillId="0" borderId="3" xfId="14" applyNumberFormat="1" applyFont="1" applyFill="1" applyBorder="1" applyAlignment="1">
      <alignment horizontal="center" vertical="center" wrapText="1"/>
    </xf>
    <xf numFmtId="4" fontId="10" fillId="0" borderId="3" xfId="15" applyNumberFormat="1" applyFont="1" applyFill="1" applyBorder="1" applyAlignment="1">
      <alignment horizontal="center" vertical="center"/>
    </xf>
    <xf numFmtId="164" fontId="10" fillId="0" borderId="3" xfId="14" applyNumberFormat="1" applyFont="1" applyFill="1" applyBorder="1" applyAlignment="1">
      <alignment vertical="center" wrapText="1"/>
    </xf>
    <xf numFmtId="164" fontId="10" fillId="8" borderId="3" xfId="13" applyNumberFormat="1" applyFont="1" applyFill="1" applyBorder="1" applyAlignment="1">
      <alignment horizontal="center" vertical="center" textRotation="90"/>
    </xf>
    <xf numFmtId="164" fontId="10" fillId="0" borderId="3" xfId="15" applyNumberFormat="1" applyFont="1" applyFill="1" applyBorder="1" applyAlignment="1">
      <alignment horizontal="center" vertical="center"/>
    </xf>
    <xf numFmtId="164" fontId="15" fillId="0" borderId="3" xfId="0" applyNumberFormat="1" applyFont="1" applyBorder="1" applyAlignment="1">
      <alignment vertical="top"/>
    </xf>
    <xf numFmtId="164" fontId="10" fillId="0" borderId="3" xfId="13" applyNumberFormat="1" applyFont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left" vertical="top" wrapText="1"/>
    </xf>
    <xf numFmtId="164" fontId="15" fillId="13" borderId="3" xfId="0" applyNumberFormat="1" applyFont="1" applyFill="1" applyBorder="1" applyAlignment="1">
      <alignment vertical="top"/>
    </xf>
    <xf numFmtId="164" fontId="10" fillId="0" borderId="3" xfId="13" applyNumberFormat="1" applyFont="1" applyBorder="1" applyAlignment="1">
      <alignment horizontal="left" vertical="center" wrapText="1"/>
    </xf>
    <xf numFmtId="164" fontId="29" fillId="0" borderId="3" xfId="0" applyNumberFormat="1" applyFont="1" applyBorder="1" applyAlignment="1">
      <alignment vertical="top"/>
    </xf>
    <xf numFmtId="0" fontId="10" fillId="0" borderId="3" xfId="13" applyNumberFormat="1" applyFont="1" applyBorder="1" applyAlignment="1">
      <alignment horizontal="left" vertical="top" wrapText="1"/>
    </xf>
    <xf numFmtId="1" fontId="10" fillId="0" borderId="3" xfId="15" applyNumberFormat="1" applyFont="1" applyFill="1" applyBorder="1" applyAlignment="1">
      <alignment horizontal="center" vertical="top"/>
    </xf>
    <xf numFmtId="4" fontId="10" fillId="0" borderId="3" xfId="15" applyNumberFormat="1" applyFont="1" applyFill="1" applyBorder="1" applyAlignment="1">
      <alignment horizontal="center" vertical="top"/>
    </xf>
    <xf numFmtId="0" fontId="10" fillId="0" borderId="3" xfId="14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9" fillId="0" borderId="3" xfId="13" applyFont="1" applyBorder="1" applyAlignment="1">
      <alignment horizontal="center" vertical="center" textRotation="90"/>
    </xf>
    <xf numFmtId="3" fontId="9" fillId="0" borderId="3" xfId="14" applyNumberFormat="1" applyFont="1" applyFill="1" applyBorder="1" applyAlignment="1">
      <alignment horizontal="center" vertical="center" wrapText="1"/>
    </xf>
    <xf numFmtId="164" fontId="9" fillId="0" borderId="3" xfId="14" applyNumberFormat="1" applyFont="1" applyFill="1" applyBorder="1" applyAlignment="1">
      <alignment horizontal="center" vertical="center" wrapText="1"/>
    </xf>
    <xf numFmtId="164" fontId="9" fillId="8" borderId="3" xfId="14" applyNumberFormat="1" applyFont="1" applyFill="1" applyBorder="1" applyAlignment="1">
      <alignment horizontal="center" vertical="center" wrapText="1"/>
    </xf>
    <xf numFmtId="4" fontId="9" fillId="8" borderId="3" xfId="14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0" fillId="8" borderId="3" xfId="13" applyFont="1" applyFill="1" applyBorder="1" applyAlignment="1">
      <alignment horizontal="center" vertical="center" textRotation="90"/>
    </xf>
    <xf numFmtId="3" fontId="10" fillId="8" borderId="3" xfId="14" applyNumberFormat="1" applyFont="1" applyFill="1" applyBorder="1" applyAlignment="1">
      <alignment horizontal="center" vertical="center" wrapText="1"/>
    </xf>
    <xf numFmtId="164" fontId="11" fillId="8" borderId="3" xfId="1" applyNumberFormat="1" applyFont="1" applyFill="1" applyBorder="1" applyAlignment="1">
      <alignment vertical="center"/>
    </xf>
    <xf numFmtId="43" fontId="10" fillId="8" borderId="3" xfId="1" applyNumberFormat="1" applyFont="1" applyFill="1" applyBorder="1" applyAlignment="1">
      <alignment vertical="center" wrapText="1"/>
    </xf>
    <xf numFmtId="3" fontId="10" fillId="8" borderId="3" xfId="13" applyNumberFormat="1" applyFont="1" applyFill="1" applyBorder="1" applyAlignment="1">
      <alignment horizontal="center" vertical="center"/>
    </xf>
    <xf numFmtId="164" fontId="10" fillId="8" borderId="3" xfId="13" applyNumberFormat="1" applyFont="1" applyFill="1" applyBorder="1" applyAlignment="1">
      <alignment horizontal="center" vertical="center"/>
    </xf>
    <xf numFmtId="43" fontId="10" fillId="8" borderId="3" xfId="1" applyNumberFormat="1" applyFont="1" applyFill="1" applyBorder="1" applyAlignment="1">
      <alignment vertical="center"/>
    </xf>
    <xf numFmtId="0" fontId="9" fillId="7" borderId="3" xfId="13" applyFont="1" applyFill="1" applyBorder="1" applyAlignment="1">
      <alignment vertical="top" wrapText="1"/>
    </xf>
    <xf numFmtId="0" fontId="10" fillId="7" borderId="3" xfId="13" applyFont="1" applyFill="1" applyBorder="1" applyAlignment="1">
      <alignment horizontal="center" vertical="top" wrapText="1"/>
    </xf>
    <xf numFmtId="0" fontId="9" fillId="7" borderId="3" xfId="13" applyFont="1" applyFill="1" applyBorder="1" applyAlignment="1">
      <alignment horizontal="center" vertical="center" textRotation="90"/>
    </xf>
    <xf numFmtId="164" fontId="9" fillId="7" borderId="3" xfId="13" applyNumberFormat="1" applyFont="1" applyFill="1" applyBorder="1" applyAlignment="1">
      <alignment horizontal="center" vertical="top"/>
    </xf>
    <xf numFmtId="0" fontId="10" fillId="8" borderId="3" xfId="13" applyFont="1" applyFill="1" applyBorder="1" applyAlignment="1">
      <alignment vertical="top" wrapText="1"/>
    </xf>
    <xf numFmtId="0" fontId="6" fillId="8" borderId="3" xfId="13" applyFont="1" applyFill="1" applyBorder="1" applyAlignment="1">
      <alignment vertical="top" wrapText="1"/>
    </xf>
    <xf numFmtId="0" fontId="11" fillId="8" borderId="3" xfId="0" applyFont="1" applyFill="1" applyBorder="1" applyAlignment="1">
      <alignment vertical="top" wrapText="1"/>
    </xf>
    <xf numFmtId="0" fontId="9" fillId="8" borderId="3" xfId="13" applyFont="1" applyFill="1" applyBorder="1" applyAlignment="1">
      <alignment vertical="top" wrapText="1"/>
    </xf>
    <xf numFmtId="4" fontId="9" fillId="8" borderId="3" xfId="16" applyNumberFormat="1" applyFont="1" applyFill="1" applyBorder="1" applyAlignment="1">
      <alignment vertical="top" wrapText="1"/>
    </xf>
    <xf numFmtId="164" fontId="9" fillId="8" borderId="3" xfId="16" applyNumberFormat="1" applyFont="1" applyFill="1" applyBorder="1" applyAlignment="1">
      <alignment vertical="top" wrapText="1"/>
    </xf>
    <xf numFmtId="3" fontId="10" fillId="8" borderId="3" xfId="13" applyNumberFormat="1" applyFont="1" applyFill="1" applyBorder="1" applyAlignment="1">
      <alignment horizontal="center" vertical="center" textRotation="90"/>
    </xf>
    <xf numFmtId="164" fontId="10" fillId="8" borderId="3" xfId="13" applyNumberFormat="1" applyFont="1" applyFill="1" applyBorder="1" applyAlignment="1">
      <alignment vertical="center"/>
    </xf>
    <xf numFmtId="4" fontId="10" fillId="8" borderId="3" xfId="13" applyNumberFormat="1" applyFont="1" applyFill="1" applyBorder="1" applyAlignment="1">
      <alignment vertical="center"/>
    </xf>
    <xf numFmtId="0" fontId="10" fillId="7" borderId="3" xfId="13" applyFont="1" applyFill="1" applyBorder="1" applyAlignment="1">
      <alignment horizontal="center" vertical="top"/>
    </xf>
    <xf numFmtId="0" fontId="10" fillId="8" borderId="3" xfId="13" applyFont="1" applyFill="1" applyBorder="1" applyAlignment="1">
      <alignment vertical="center" wrapText="1"/>
    </xf>
    <xf numFmtId="4" fontId="10" fillId="8" borderId="3" xfId="13" applyNumberFormat="1" applyFont="1" applyFill="1" applyBorder="1" applyAlignment="1">
      <alignment horizontal="center" vertical="center" textRotation="90"/>
    </xf>
    <xf numFmtId="0" fontId="11" fillId="8" borderId="3" xfId="0" applyFont="1" applyFill="1" applyBorder="1"/>
    <xf numFmtId="164" fontId="9" fillId="8" borderId="3" xfId="13" applyNumberFormat="1" applyFont="1" applyFill="1" applyBorder="1" applyAlignment="1">
      <alignment vertical="top"/>
    </xf>
    <xf numFmtId="3" fontId="10" fillId="8" borderId="3" xfId="13" applyNumberFormat="1" applyFont="1" applyFill="1" applyBorder="1" applyAlignment="1">
      <alignment vertical="center"/>
    </xf>
    <xf numFmtId="4" fontId="9" fillId="8" borderId="3" xfId="13" applyNumberFormat="1" applyFont="1" applyFill="1" applyBorder="1" applyAlignment="1">
      <alignment vertical="top"/>
    </xf>
    <xf numFmtId="49" fontId="9" fillId="7" borderId="3" xfId="13" applyNumberFormat="1" applyFont="1" applyFill="1" applyBorder="1" applyAlignment="1">
      <alignment horizontal="center" vertical="center" wrapText="1"/>
    </xf>
    <xf numFmtId="4" fontId="9" fillId="7" borderId="3" xfId="13" applyNumberFormat="1" applyFont="1" applyFill="1" applyBorder="1" applyAlignment="1">
      <alignment horizontal="center" vertical="top" wrapText="1"/>
    </xf>
    <xf numFmtId="4" fontId="9" fillId="7" borderId="3" xfId="13" applyNumberFormat="1" applyFont="1" applyFill="1" applyBorder="1" applyAlignment="1">
      <alignment horizontal="center" vertical="top"/>
    </xf>
    <xf numFmtId="164" fontId="9" fillId="7" borderId="3" xfId="13" applyNumberFormat="1" applyFont="1" applyFill="1" applyBorder="1" applyAlignment="1">
      <alignment vertical="top"/>
    </xf>
    <xf numFmtId="0" fontId="10" fillId="8" borderId="3" xfId="13" applyFont="1" applyFill="1" applyBorder="1" applyAlignment="1">
      <alignment horizontal="center" vertical="top" wrapText="1"/>
    </xf>
    <xf numFmtId="0" fontId="9" fillId="8" borderId="3" xfId="13" applyFont="1" applyFill="1" applyBorder="1" applyAlignment="1">
      <alignment horizontal="center" vertical="center" textRotation="90"/>
    </xf>
    <xf numFmtId="164" fontId="10" fillId="8" borderId="3" xfId="13" applyNumberFormat="1" applyFont="1" applyFill="1" applyBorder="1" applyAlignment="1">
      <alignment vertical="center" wrapText="1"/>
    </xf>
    <xf numFmtId="4" fontId="10" fillId="8" borderId="3" xfId="13" applyNumberFormat="1" applyFont="1" applyFill="1" applyBorder="1" applyAlignment="1">
      <alignment vertical="center" wrapText="1"/>
    </xf>
    <xf numFmtId="4" fontId="9" fillId="7" borderId="3" xfId="13" applyNumberFormat="1" applyFont="1" applyFill="1" applyBorder="1" applyAlignment="1">
      <alignment horizontal="left" vertical="top" wrapText="1"/>
    </xf>
    <xf numFmtId="164" fontId="9" fillId="7" borderId="3" xfId="13" applyNumberFormat="1" applyFont="1" applyFill="1" applyBorder="1" applyAlignment="1">
      <alignment vertical="top" wrapText="1"/>
    </xf>
    <xf numFmtId="4" fontId="9" fillId="7" borderId="3" xfId="13" applyNumberFormat="1" applyFont="1" applyFill="1" applyBorder="1" applyAlignment="1">
      <alignment vertical="top" wrapText="1"/>
    </xf>
    <xf numFmtId="164" fontId="9" fillId="8" borderId="3" xfId="13" applyNumberFormat="1" applyFont="1" applyFill="1" applyBorder="1" applyAlignment="1">
      <alignment horizontal="center" vertical="top"/>
    </xf>
    <xf numFmtId="4" fontId="6" fillId="8" borderId="3" xfId="0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vertical="top" wrapText="1"/>
    </xf>
    <xf numFmtId="49" fontId="9" fillId="7" borderId="3" xfId="0" applyNumberFormat="1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0" fillId="7" borderId="3" xfId="13" applyFont="1" applyFill="1" applyBorder="1" applyAlignment="1">
      <alignment vertical="top" wrapText="1"/>
    </xf>
    <xf numFmtId="0" fontId="9" fillId="7" borderId="3" xfId="0" applyFont="1" applyFill="1" applyBorder="1" applyAlignment="1">
      <alignment horizontal="center" vertical="center" textRotation="90"/>
    </xf>
    <xf numFmtId="0" fontId="10" fillId="0" borderId="3" xfId="0" applyFont="1" applyBorder="1" applyAlignment="1">
      <alignment horizontal="left" vertical="top"/>
    </xf>
    <xf numFmtId="0" fontId="10" fillId="8" borderId="3" xfId="0" applyFont="1" applyFill="1" applyBorder="1" applyAlignment="1">
      <alignment horizontal="left" vertical="top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textRotation="90"/>
    </xf>
    <xf numFmtId="164" fontId="10" fillId="0" borderId="3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horizontal="center" vertical="center"/>
    </xf>
    <xf numFmtId="0" fontId="9" fillId="7" borderId="3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center" vertical="center" wrapText="1"/>
    </xf>
    <xf numFmtId="3" fontId="9" fillId="7" borderId="3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vertical="center"/>
    </xf>
    <xf numFmtId="0" fontId="6" fillId="7" borderId="3" xfId="0" applyFont="1" applyFill="1" applyBorder="1" applyAlignment="1">
      <alignment vertical="top" wrapText="1"/>
    </xf>
    <xf numFmtId="0" fontId="9" fillId="7" borderId="3" xfId="0" applyFont="1" applyFill="1" applyBorder="1" applyAlignment="1">
      <alignment vertical="center" wrapText="1"/>
    </xf>
    <xf numFmtId="164" fontId="9" fillId="7" borderId="3" xfId="0" applyNumberFormat="1" applyFont="1" applyFill="1" applyBorder="1" applyAlignment="1">
      <alignment vertical="center"/>
    </xf>
    <xf numFmtId="0" fontId="21" fillId="7" borderId="17" xfId="12" applyNumberFormat="1" applyFont="1" applyFill="1" applyBorder="1" applyProtection="1">
      <alignment vertical="top" wrapText="1"/>
    </xf>
    <xf numFmtId="0" fontId="9" fillId="7" borderId="3" xfId="0" applyFont="1" applyFill="1" applyBorder="1" applyAlignment="1">
      <alignment horizontal="center" vertical="top"/>
    </xf>
    <xf numFmtId="49" fontId="9" fillId="7" borderId="3" xfId="0" applyNumberFormat="1" applyFont="1" applyFill="1" applyBorder="1" applyAlignment="1">
      <alignment horizontal="center" vertical="top"/>
    </xf>
    <xf numFmtId="0" fontId="9" fillId="7" borderId="3" xfId="0" applyFont="1" applyFill="1" applyBorder="1" applyAlignment="1">
      <alignment horizontal="center" vertical="top" wrapText="1" shrinkToFit="1"/>
    </xf>
    <xf numFmtId="0" fontId="10" fillId="0" borderId="1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21" fillId="7" borderId="15" xfId="12" applyNumberFormat="1" applyFont="1" applyFill="1" applyProtection="1">
      <alignment vertical="top" wrapText="1"/>
    </xf>
    <xf numFmtId="49" fontId="9" fillId="7" borderId="3" xfId="0" applyNumberFormat="1" applyFont="1" applyFill="1" applyBorder="1" applyAlignment="1">
      <alignment horizontal="center" vertical="top" wrapText="1"/>
    </xf>
    <xf numFmtId="0" fontId="30" fillId="0" borderId="15" xfId="12" applyNumberFormat="1" applyFont="1" applyProtection="1">
      <alignment vertical="top" wrapText="1"/>
    </xf>
    <xf numFmtId="0" fontId="10" fillId="14" borderId="3" xfId="0" applyFont="1" applyFill="1" applyBorder="1" applyAlignment="1">
      <alignment vertical="center"/>
    </xf>
    <xf numFmtId="164" fontId="10" fillId="14" borderId="3" xfId="0" applyNumberFormat="1" applyFont="1" applyFill="1" applyBorder="1" applyAlignment="1">
      <alignment vertical="center"/>
    </xf>
    <xf numFmtId="4" fontId="10" fillId="14" borderId="3" xfId="0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top"/>
    </xf>
    <xf numFmtId="0" fontId="10" fillId="8" borderId="3" xfId="0" applyFont="1" applyFill="1" applyBorder="1" applyAlignment="1">
      <alignment vertical="center"/>
    </xf>
    <xf numFmtId="164" fontId="10" fillId="8" borderId="3" xfId="0" applyNumberFormat="1" applyFont="1" applyFill="1" applyBorder="1" applyAlignment="1">
      <alignment vertical="center"/>
    </xf>
    <xf numFmtId="164" fontId="9" fillId="7" borderId="3" xfId="0" applyNumberFormat="1" applyFont="1" applyFill="1" applyBorder="1" applyAlignment="1">
      <alignment vertical="center" wrapText="1"/>
    </xf>
    <xf numFmtId="4" fontId="9" fillId="7" borderId="3" xfId="0" applyNumberFormat="1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horizontal="center" vertical="top" wrapText="1"/>
    </xf>
    <xf numFmtId="0" fontId="9" fillId="8" borderId="3" xfId="0" applyFont="1" applyFill="1" applyBorder="1" applyAlignment="1">
      <alignment horizontal="center" vertical="top" wrapText="1"/>
    </xf>
    <xf numFmtId="0" fontId="9" fillId="8" borderId="3" xfId="0" applyFont="1" applyFill="1" applyBorder="1" applyAlignment="1">
      <alignment vertical="center" wrapText="1"/>
    </xf>
    <xf numFmtId="164" fontId="9" fillId="8" borderId="3" xfId="0" applyNumberFormat="1" applyFont="1" applyFill="1" applyBorder="1" applyAlignment="1">
      <alignment vertical="center" wrapText="1"/>
    </xf>
    <xf numFmtId="4" fontId="10" fillId="8" borderId="3" xfId="0" applyNumberFormat="1" applyFont="1" applyFill="1" applyBorder="1" applyAlignment="1">
      <alignment horizontal="center" vertical="center" wrapText="1"/>
    </xf>
    <xf numFmtId="0" fontId="5" fillId="8" borderId="0" xfId="0" applyFont="1" applyFill="1"/>
    <xf numFmtId="0" fontId="5" fillId="8" borderId="0" xfId="0" applyFont="1" applyFill="1" applyAlignment="1">
      <alignment horizontal="center"/>
    </xf>
    <xf numFmtId="164" fontId="10" fillId="10" borderId="3" xfId="0" applyNumberFormat="1" applyFont="1" applyFill="1" applyBorder="1" applyAlignment="1">
      <alignment horizontal="center" vertical="top" wrapText="1"/>
    </xf>
    <xf numFmtId="164" fontId="9" fillId="10" borderId="3" xfId="0" applyNumberFormat="1" applyFont="1" applyFill="1" applyBorder="1" applyAlignment="1">
      <alignment horizontal="center" vertical="center" wrapText="1"/>
    </xf>
    <xf numFmtId="4" fontId="9" fillId="10" borderId="3" xfId="0" applyNumberFormat="1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21" fillId="7" borderId="19" xfId="12" applyNumberFormat="1" applyFont="1" applyFill="1" applyBorder="1" applyProtection="1">
      <alignment vertical="top" wrapText="1"/>
    </xf>
    <xf numFmtId="49" fontId="9" fillId="7" borderId="13" xfId="0" applyNumberFormat="1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left" vertical="center" wrapText="1"/>
    </xf>
    <xf numFmtId="0" fontId="9" fillId="7" borderId="13" xfId="0" applyFont="1" applyFill="1" applyBorder="1" applyAlignment="1">
      <alignment horizontal="center" vertical="center" wrapText="1"/>
    </xf>
    <xf numFmtId="164" fontId="10" fillId="7" borderId="3" xfId="0" applyNumberFormat="1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top" wrapText="1"/>
    </xf>
    <xf numFmtId="164" fontId="9" fillId="3" borderId="3" xfId="0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7" borderId="3" xfId="0" applyFont="1" applyFill="1" applyBorder="1" applyAlignment="1">
      <alignment horizontal="left" vertical="top" wrapText="1"/>
    </xf>
    <xf numFmtId="168" fontId="9" fillId="7" borderId="3" xfId="1" applyNumberFormat="1" applyFont="1" applyFill="1" applyBorder="1" applyAlignment="1">
      <alignment vertical="center" wrapText="1"/>
    </xf>
    <xf numFmtId="168" fontId="9" fillId="7" borderId="3" xfId="1" applyNumberFormat="1" applyFont="1" applyFill="1" applyBorder="1" applyAlignment="1">
      <alignment vertical="center"/>
    </xf>
    <xf numFmtId="0" fontId="10" fillId="7" borderId="3" xfId="0" applyFont="1" applyFill="1" applyBorder="1" applyAlignment="1">
      <alignment vertical="top" wrapText="1"/>
    </xf>
    <xf numFmtId="2" fontId="9" fillId="7" borderId="3" xfId="0" applyNumberFormat="1" applyFont="1" applyFill="1" applyBorder="1" applyAlignment="1">
      <alignment horizontal="center" vertical="center"/>
    </xf>
    <xf numFmtId="164" fontId="9" fillId="7" borderId="3" xfId="0" applyNumberFormat="1" applyFont="1" applyFill="1" applyBorder="1" applyAlignment="1">
      <alignment horizontal="center" vertical="center" textRotation="90"/>
    </xf>
    <xf numFmtId="0" fontId="10" fillId="8" borderId="7" xfId="0" applyFont="1" applyFill="1" applyBorder="1" applyAlignment="1">
      <alignment horizontal="left" vertical="top" wrapText="1"/>
    </xf>
    <xf numFmtId="168" fontId="10" fillId="8" borderId="7" xfId="1" applyNumberFormat="1" applyFont="1" applyFill="1" applyBorder="1" applyAlignment="1">
      <alignment vertical="center" wrapText="1"/>
    </xf>
    <xf numFmtId="168" fontId="9" fillId="8" borderId="7" xfId="1" applyNumberFormat="1" applyFont="1" applyFill="1" applyBorder="1" applyAlignment="1">
      <alignment vertical="center" wrapText="1"/>
    </xf>
    <xf numFmtId="0" fontId="9" fillId="8" borderId="7" xfId="0" applyFont="1" applyFill="1" applyBorder="1" applyAlignment="1">
      <alignment horizontal="center" vertical="top" wrapText="1"/>
    </xf>
    <xf numFmtId="1" fontId="10" fillId="8" borderId="3" xfId="0" applyNumberFormat="1" applyFont="1" applyFill="1" applyBorder="1" applyAlignment="1">
      <alignment horizontal="left" vertical="center" wrapText="1"/>
    </xf>
    <xf numFmtId="166" fontId="10" fillId="8" borderId="3" xfId="1" applyNumberFormat="1" applyFont="1" applyFill="1" applyBorder="1" applyAlignment="1">
      <alignment horizontal="center" vertical="center" textRotation="90"/>
    </xf>
    <xf numFmtId="2" fontId="9" fillId="7" borderId="3" xfId="0" applyNumberFormat="1" applyFont="1" applyFill="1" applyBorder="1" applyAlignment="1">
      <alignment horizontal="center" vertical="top"/>
    </xf>
    <xf numFmtId="164" fontId="9" fillId="7" borderId="3" xfId="0" applyNumberFormat="1" applyFont="1" applyFill="1" applyBorder="1" applyAlignment="1">
      <alignment horizontal="center" vertical="top"/>
    </xf>
    <xf numFmtId="0" fontId="10" fillId="8" borderId="7" xfId="0" applyFont="1" applyFill="1" applyBorder="1" applyAlignment="1">
      <alignment vertical="top" wrapText="1"/>
    </xf>
    <xf numFmtId="168" fontId="31" fillId="8" borderId="3" xfId="1" applyNumberFormat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vertical="top" wrapText="1"/>
    </xf>
    <xf numFmtId="0" fontId="9" fillId="7" borderId="7" xfId="0" applyFont="1" applyFill="1" applyBorder="1" applyAlignment="1">
      <alignment horizontal="left" vertical="top" wrapText="1"/>
    </xf>
    <xf numFmtId="168" fontId="10" fillId="7" borderId="7" xfId="1" applyNumberFormat="1" applyFont="1" applyFill="1" applyBorder="1" applyAlignment="1">
      <alignment vertical="center" wrapText="1"/>
    </xf>
    <xf numFmtId="0" fontId="10" fillId="7" borderId="7" xfId="0" applyFont="1" applyFill="1" applyBorder="1" applyAlignment="1">
      <alignment vertical="top" wrapText="1"/>
    </xf>
    <xf numFmtId="168" fontId="10" fillId="7" borderId="3" xfId="1" applyNumberFormat="1" applyFont="1" applyFill="1" applyBorder="1" applyAlignment="1">
      <alignment horizontal="center" vertical="center" textRotation="90"/>
    </xf>
    <xf numFmtId="168" fontId="31" fillId="7" borderId="3" xfId="1" applyNumberFormat="1" applyFont="1" applyFill="1" applyBorder="1" applyAlignment="1">
      <alignment horizontal="center" vertical="center"/>
    </xf>
    <xf numFmtId="168" fontId="10" fillId="7" borderId="3" xfId="1" applyNumberFormat="1" applyFont="1" applyFill="1" applyBorder="1" applyAlignment="1">
      <alignment horizontal="center" vertical="center"/>
    </xf>
    <xf numFmtId="168" fontId="11" fillId="7" borderId="3" xfId="1" applyNumberFormat="1" applyFont="1" applyFill="1" applyBorder="1" applyAlignment="1">
      <alignment horizontal="center" vertical="center"/>
    </xf>
    <xf numFmtId="0" fontId="5" fillId="7" borderId="0" xfId="0" applyFont="1" applyFill="1"/>
    <xf numFmtId="0" fontId="5" fillId="7" borderId="0" xfId="0" applyFont="1" applyFill="1" applyAlignment="1">
      <alignment horizontal="center"/>
    </xf>
    <xf numFmtId="49" fontId="6" fillId="7" borderId="3" xfId="17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166" fontId="6" fillId="7" borderId="3" xfId="0" applyNumberFormat="1" applyFont="1" applyFill="1" applyBorder="1" applyAlignment="1">
      <alignment vertical="center" wrapText="1"/>
    </xf>
    <xf numFmtId="164" fontId="10" fillId="8" borderId="3" xfId="0" applyNumberFormat="1" applyFont="1" applyFill="1" applyBorder="1" applyAlignment="1">
      <alignment vertical="top" wrapText="1"/>
    </xf>
    <xf numFmtId="166" fontId="10" fillId="8" borderId="3" xfId="1" applyFont="1" applyFill="1" applyBorder="1" applyAlignment="1">
      <alignment vertical="center" wrapText="1"/>
    </xf>
    <xf numFmtId="168" fontId="10" fillId="8" borderId="3" xfId="1" applyNumberFormat="1" applyFont="1" applyFill="1" applyBorder="1" applyAlignment="1">
      <alignment vertical="center"/>
    </xf>
    <xf numFmtId="2" fontId="10" fillId="8" borderId="3" xfId="1" applyNumberFormat="1" applyFont="1" applyFill="1" applyBorder="1" applyAlignment="1">
      <alignment horizontal="center" vertical="center" wrapText="1"/>
    </xf>
    <xf numFmtId="166" fontId="15" fillId="8" borderId="3" xfId="1" applyFont="1" applyFill="1" applyBorder="1" applyAlignment="1">
      <alignment horizontal="center" vertical="center"/>
    </xf>
    <xf numFmtId="164" fontId="10" fillId="8" borderId="3" xfId="13" applyNumberFormat="1" applyFont="1" applyFill="1" applyBorder="1" applyAlignment="1">
      <alignment vertical="top" wrapText="1"/>
    </xf>
    <xf numFmtId="164" fontId="10" fillId="8" borderId="3" xfId="0" applyNumberFormat="1" applyFont="1" applyFill="1" applyBorder="1" applyAlignment="1">
      <alignment horizontal="center" vertical="center" textRotation="90"/>
    </xf>
    <xf numFmtId="164" fontId="10" fillId="15" borderId="3" xfId="13" applyNumberFormat="1" applyFont="1" applyFill="1" applyBorder="1" applyAlignment="1">
      <alignment vertical="top" wrapText="1"/>
    </xf>
    <xf numFmtId="166" fontId="10" fillId="8" borderId="3" xfId="1" applyFont="1" applyFill="1" applyBorder="1" applyAlignment="1">
      <alignment vertical="center"/>
    </xf>
    <xf numFmtId="164" fontId="10" fillId="8" borderId="3" xfId="0" applyNumberFormat="1" applyFont="1" applyFill="1" applyBorder="1" applyAlignment="1">
      <alignment horizontal="left" vertical="top" wrapText="1"/>
    </xf>
    <xf numFmtId="2" fontId="10" fillId="8" borderId="3" xfId="1" applyNumberFormat="1" applyFont="1" applyFill="1" applyBorder="1" applyAlignment="1">
      <alignment horizontal="left" vertical="top" wrapText="1"/>
    </xf>
    <xf numFmtId="2" fontId="10" fillId="8" borderId="3" xfId="1" applyNumberFormat="1" applyFont="1" applyFill="1" applyBorder="1" applyAlignment="1">
      <alignment horizontal="center" vertical="top" wrapText="1"/>
    </xf>
    <xf numFmtId="164" fontId="11" fillId="8" borderId="3" xfId="0" applyNumberFormat="1" applyFont="1" applyFill="1" applyBorder="1" applyAlignment="1">
      <alignment vertical="top" wrapText="1"/>
    </xf>
    <xf numFmtId="2" fontId="10" fillId="8" borderId="3" xfId="1" applyNumberFormat="1" applyFont="1" applyFill="1" applyBorder="1" applyAlignment="1">
      <alignment horizontal="justify" vertical="top" wrapText="1"/>
    </xf>
    <xf numFmtId="164" fontId="10" fillId="8" borderId="3" xfId="0" applyNumberFormat="1" applyFont="1" applyFill="1" applyBorder="1" applyAlignment="1">
      <alignment horizontal="center" vertical="center"/>
    </xf>
    <xf numFmtId="164" fontId="10" fillId="16" borderId="3" xfId="18" applyNumberFormat="1" applyFont="1" applyFill="1" applyBorder="1" applyAlignment="1">
      <alignment vertical="top" wrapText="1"/>
    </xf>
    <xf numFmtId="2" fontId="10" fillId="8" borderId="3" xfId="1" applyNumberFormat="1" applyFont="1" applyFill="1" applyBorder="1" applyAlignment="1">
      <alignment horizontal="center" vertical="top"/>
    </xf>
    <xf numFmtId="164" fontId="9" fillId="7" borderId="3" xfId="0" applyNumberFormat="1" applyFont="1" applyFill="1" applyBorder="1" applyAlignment="1">
      <alignment vertical="top" wrapText="1"/>
    </xf>
    <xf numFmtId="166" fontId="9" fillId="7" borderId="3" xfId="1" applyFont="1" applyFill="1" applyBorder="1" applyAlignment="1">
      <alignment vertical="center" wrapText="1"/>
    </xf>
    <xf numFmtId="2" fontId="9" fillId="7" borderId="3" xfId="1" applyNumberFormat="1" applyFont="1" applyFill="1" applyBorder="1" applyAlignment="1">
      <alignment horizontal="center" vertical="top"/>
    </xf>
    <xf numFmtId="168" fontId="9" fillId="7" borderId="3" xfId="1" applyNumberFormat="1" applyFont="1" applyFill="1" applyBorder="1" applyAlignment="1">
      <alignment horizontal="center" vertical="center" textRotation="90"/>
    </xf>
    <xf numFmtId="166" fontId="9" fillId="7" borderId="3" xfId="1" applyFont="1" applyFill="1" applyBorder="1" applyAlignment="1">
      <alignment horizontal="center" vertical="center"/>
    </xf>
    <xf numFmtId="166" fontId="6" fillId="7" borderId="3" xfId="1" applyFont="1" applyFill="1" applyBorder="1" applyAlignment="1">
      <alignment horizontal="center" vertical="center"/>
    </xf>
    <xf numFmtId="168" fontId="9" fillId="14" borderId="3" xfId="1" applyNumberFormat="1" applyFont="1" applyFill="1" applyBorder="1" applyAlignment="1">
      <alignment horizontal="center" vertical="center" textRotation="90"/>
    </xf>
    <xf numFmtId="166" fontId="9" fillId="14" borderId="3" xfId="1" applyFont="1" applyFill="1" applyBorder="1" applyAlignment="1">
      <alignment horizontal="center" vertical="center"/>
    </xf>
    <xf numFmtId="166" fontId="6" fillId="14" borderId="3" xfId="1" applyFont="1" applyFill="1" applyBorder="1" applyAlignment="1">
      <alignment horizontal="center" vertical="center"/>
    </xf>
    <xf numFmtId="4" fontId="6" fillId="14" borderId="3" xfId="0" applyNumberFormat="1" applyFont="1" applyFill="1" applyBorder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9" fillId="7" borderId="14" xfId="0" applyFont="1" applyFill="1" applyBorder="1" applyAlignment="1">
      <alignment horizontal="left" vertical="top" wrapText="1"/>
    </xf>
    <xf numFmtId="2" fontId="9" fillId="7" borderId="3" xfId="1" applyNumberFormat="1" applyFont="1" applyFill="1" applyBorder="1" applyAlignment="1">
      <alignment horizontal="left" vertical="top" wrapText="1"/>
    </xf>
    <xf numFmtId="164" fontId="10" fillId="8" borderId="14" xfId="0" applyNumberFormat="1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2" xfId="0" applyFont="1" applyFill="1" applyBorder="1" applyAlignment="1">
      <alignment horizontal="center" vertical="top" wrapText="1"/>
    </xf>
    <xf numFmtId="0" fontId="10" fillId="8" borderId="16" xfId="0" applyFont="1" applyFill="1" applyBorder="1" applyAlignment="1">
      <alignment horizontal="center" vertical="top" wrapText="1"/>
    </xf>
    <xf numFmtId="0" fontId="10" fillId="8" borderId="14" xfId="0" applyFont="1" applyFill="1" applyBorder="1" applyAlignment="1">
      <alignment horizontal="center" vertical="top" wrapText="1"/>
    </xf>
    <xf numFmtId="0" fontId="9" fillId="10" borderId="3" xfId="4" applyFont="1" applyFill="1" applyBorder="1" applyAlignment="1">
      <alignment horizontal="center" vertical="center" textRotation="90" wrapText="1"/>
    </xf>
    <xf numFmtId="0" fontId="9" fillId="10" borderId="3" xfId="4" applyFont="1" applyFill="1" applyBorder="1" applyAlignment="1">
      <alignment horizontal="center" vertical="center" wrapText="1"/>
    </xf>
    <xf numFmtId="164" fontId="9" fillId="10" borderId="3" xfId="4" applyNumberFormat="1" applyFont="1" applyFill="1" applyBorder="1" applyAlignment="1">
      <alignment horizontal="center" vertical="center" wrapText="1"/>
    </xf>
    <xf numFmtId="4" fontId="9" fillId="10" borderId="3" xfId="4" applyNumberFormat="1" applyFont="1" applyFill="1" applyBorder="1" applyAlignment="1">
      <alignment horizontal="center" vertical="center" wrapText="1"/>
    </xf>
    <xf numFmtId="164" fontId="6" fillId="7" borderId="3" xfId="4" applyNumberFormat="1" applyFont="1" applyFill="1" applyBorder="1" applyAlignment="1">
      <alignment horizontal="center" vertical="center"/>
    </xf>
    <xf numFmtId="4" fontId="9" fillId="0" borderId="3" xfId="4" applyNumberFormat="1" applyFont="1" applyFill="1" applyBorder="1" applyAlignment="1">
      <alignment horizontal="center" vertical="center" wrapText="1"/>
    </xf>
    <xf numFmtId="164" fontId="9" fillId="0" borderId="3" xfId="4" applyNumberFormat="1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 wrapText="1"/>
    </xf>
    <xf numFmtId="164" fontId="10" fillId="0" borderId="3" xfId="4" applyNumberFormat="1" applyFont="1" applyBorder="1" applyAlignment="1">
      <alignment horizontal="left" vertical="center" wrapText="1"/>
    </xf>
    <xf numFmtId="164" fontId="9" fillId="0" borderId="3" xfId="4" applyNumberFormat="1" applyFont="1" applyBorder="1" applyAlignment="1">
      <alignment horizontal="center" vertical="center" textRotation="90"/>
    </xf>
    <xf numFmtId="0" fontId="9" fillId="0" borderId="3" xfId="4" applyFont="1" applyFill="1" applyBorder="1" applyAlignment="1">
      <alignment horizontal="left" vertical="center" wrapText="1"/>
    </xf>
    <xf numFmtId="0" fontId="10" fillId="0" borderId="3" xfId="4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/>
    </xf>
    <xf numFmtId="164" fontId="10" fillId="0" borderId="3" xfId="4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left" vertical="center" wrapText="1"/>
    </xf>
    <xf numFmtId="4" fontId="11" fillId="8" borderId="3" xfId="0" applyNumberFormat="1" applyFont="1" applyFill="1" applyBorder="1" applyAlignment="1">
      <alignment vertical="center"/>
    </xf>
    <xf numFmtId="3" fontId="10" fillId="0" borderId="3" xfId="4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Border="1" applyAlignment="1">
      <alignment vertical="center"/>
    </xf>
    <xf numFmtId="0" fontId="9" fillId="0" borderId="3" xfId="4" applyFont="1" applyBorder="1" applyAlignment="1">
      <alignment horizontal="center" vertical="center"/>
    </xf>
    <xf numFmtId="164" fontId="9" fillId="0" borderId="3" xfId="4" applyNumberFormat="1" applyFont="1" applyBorder="1" applyAlignment="1">
      <alignment horizontal="left" vertical="center" wrapText="1"/>
    </xf>
    <xf numFmtId="4" fontId="9" fillId="0" borderId="3" xfId="4" applyNumberFormat="1" applyFont="1" applyBorder="1" applyAlignment="1">
      <alignment horizontal="center" vertical="center" textRotation="90"/>
    </xf>
    <xf numFmtId="0" fontId="10" fillId="0" borderId="3" xfId="4" applyFont="1" applyBorder="1" applyAlignment="1">
      <alignment horizontal="center" vertical="center"/>
    </xf>
    <xf numFmtId="4" fontId="10" fillId="0" borderId="3" xfId="4" applyNumberFormat="1" applyFont="1" applyBorder="1" applyAlignment="1">
      <alignment horizontal="center" vertical="center" textRotation="90" wrapText="1"/>
    </xf>
    <xf numFmtId="4" fontId="10" fillId="0" borderId="3" xfId="4" applyNumberFormat="1" applyFont="1" applyBorder="1" applyAlignment="1">
      <alignment horizontal="center" vertical="center"/>
    </xf>
    <xf numFmtId="49" fontId="9" fillId="7" borderId="3" xfId="4" applyNumberFormat="1" applyFont="1" applyFill="1" applyBorder="1" applyAlignment="1">
      <alignment horizontal="center" vertical="top" wrapText="1"/>
    </xf>
    <xf numFmtId="0" fontId="9" fillId="7" borderId="3" xfId="4" applyFont="1" applyFill="1" applyBorder="1" applyAlignment="1">
      <alignment horizontal="center" vertical="center"/>
    </xf>
    <xf numFmtId="164" fontId="10" fillId="7" borderId="3" xfId="4" applyNumberFormat="1" applyFont="1" applyFill="1" applyBorder="1" applyAlignment="1">
      <alignment horizontal="left" vertical="center" wrapText="1"/>
    </xf>
    <xf numFmtId="4" fontId="9" fillId="7" borderId="3" xfId="4" applyNumberFormat="1" applyFont="1" applyFill="1" applyBorder="1" applyAlignment="1">
      <alignment horizontal="center" vertical="center" textRotation="90"/>
    </xf>
    <xf numFmtId="0" fontId="10" fillId="0" borderId="3" xfId="4" applyFont="1" applyBorder="1" applyAlignment="1">
      <alignment vertical="top" wrapText="1"/>
    </xf>
    <xf numFmtId="0" fontId="9" fillId="0" borderId="3" xfId="4" applyFont="1" applyFill="1" applyBorder="1" applyAlignment="1">
      <alignment vertical="top" wrapText="1"/>
    </xf>
    <xf numFmtId="4" fontId="9" fillId="10" borderId="3" xfId="4" applyNumberFormat="1" applyFont="1" applyFill="1" applyBorder="1" applyAlignment="1">
      <alignment horizontal="center" vertical="center"/>
    </xf>
    <xf numFmtId="4" fontId="11" fillId="10" borderId="3" xfId="0" applyNumberFormat="1" applyFont="1" applyFill="1" applyBorder="1" applyAlignment="1">
      <alignment horizontal="center" vertical="center"/>
    </xf>
    <xf numFmtId="49" fontId="9" fillId="7" borderId="3" xfId="4" applyNumberFormat="1" applyFont="1" applyFill="1" applyBorder="1" applyAlignment="1">
      <alignment vertical="top" wrapText="1"/>
    </xf>
    <xf numFmtId="4" fontId="9" fillId="7" borderId="5" xfId="4" applyNumberFormat="1" applyFont="1" applyFill="1" applyBorder="1" applyAlignment="1">
      <alignment horizontal="center" vertical="center" textRotation="90"/>
    </xf>
    <xf numFmtId="0" fontId="9" fillId="0" borderId="3" xfId="4" applyFont="1" applyBorder="1" applyAlignment="1">
      <alignment vertical="top" wrapText="1"/>
    </xf>
    <xf numFmtId="0" fontId="10" fillId="0" borderId="3" xfId="4" applyFont="1" applyFill="1" applyBorder="1" applyAlignment="1">
      <alignment vertical="top" wrapText="1"/>
    </xf>
    <xf numFmtId="4" fontId="9" fillId="0" borderId="5" xfId="4" applyNumberFormat="1" applyFont="1" applyBorder="1" applyAlignment="1">
      <alignment horizontal="center" vertical="center" textRotation="90"/>
    </xf>
    <xf numFmtId="4" fontId="9" fillId="10" borderId="3" xfId="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9" fillId="7" borderId="3" xfId="0" applyNumberFormat="1" applyFont="1" applyFill="1" applyBorder="1" applyAlignment="1">
      <alignment horizontal="center" vertical="top" wrapText="1"/>
    </xf>
    <xf numFmtId="4" fontId="9" fillId="7" borderId="3" xfId="0" applyNumberFormat="1" applyFont="1" applyFill="1" applyBorder="1" applyAlignment="1">
      <alignment horizontal="center" vertical="top"/>
    </xf>
    <xf numFmtId="164" fontId="9" fillId="7" borderId="3" xfId="0" applyNumberFormat="1" applyFont="1" applyFill="1" applyBorder="1" applyAlignment="1">
      <alignment vertical="top"/>
    </xf>
    <xf numFmtId="49" fontId="10" fillId="8" borderId="3" xfId="0" applyNumberFormat="1" applyFont="1" applyFill="1" applyBorder="1" applyAlignment="1">
      <alignment horizontal="center" vertical="top" wrapText="1"/>
    </xf>
    <xf numFmtId="4" fontId="10" fillId="8" borderId="3" xfId="0" applyNumberFormat="1" applyFont="1" applyFill="1" applyBorder="1" applyAlignment="1">
      <alignment vertical="center"/>
    </xf>
    <xf numFmtId="164" fontId="9" fillId="8" borderId="3" xfId="0" applyNumberFormat="1" applyFont="1" applyFill="1" applyBorder="1" applyAlignment="1">
      <alignment horizontal="center" vertical="center" textRotation="90"/>
    </xf>
    <xf numFmtId="164" fontId="9" fillId="8" borderId="3" xfId="0" applyNumberFormat="1" applyFont="1" applyFill="1" applyBorder="1" applyAlignment="1">
      <alignment horizontal="center" vertical="top"/>
    </xf>
    <xf numFmtId="4" fontId="5" fillId="0" borderId="0" xfId="0" applyNumberFormat="1" applyFont="1" applyAlignment="1">
      <alignment horizontal="center"/>
    </xf>
    <xf numFmtId="0" fontId="9" fillId="7" borderId="3" xfId="19" applyFont="1" applyFill="1" applyBorder="1" applyAlignment="1">
      <alignment vertical="top" wrapText="1"/>
    </xf>
    <xf numFmtId="49" fontId="9" fillId="7" borderId="3" xfId="19" applyNumberFormat="1" applyFont="1" applyFill="1" applyBorder="1" applyAlignment="1">
      <alignment horizontal="center" vertical="center" wrapText="1"/>
    </xf>
    <xf numFmtId="0" fontId="9" fillId="7" borderId="3" xfId="19" applyFont="1" applyFill="1" applyBorder="1" applyAlignment="1">
      <alignment horizontal="left" vertical="top" wrapText="1"/>
    </xf>
    <xf numFmtId="164" fontId="9" fillId="7" borderId="3" xfId="0" applyNumberFormat="1" applyFont="1" applyFill="1" applyBorder="1" applyAlignment="1">
      <alignment horizontal="center" vertical="top" wrapText="1"/>
    </xf>
    <xf numFmtId="164" fontId="9" fillId="7" borderId="3" xfId="0" applyNumberFormat="1" applyFont="1" applyFill="1" applyBorder="1" applyAlignment="1">
      <alignment horizontal="center" vertical="center" textRotation="90" wrapText="1"/>
    </xf>
    <xf numFmtId="0" fontId="10" fillId="8" borderId="3" xfId="19" applyFont="1" applyFill="1" applyBorder="1" applyAlignment="1">
      <alignment vertical="top" wrapText="1"/>
    </xf>
    <xf numFmtId="4" fontId="10" fillId="8" borderId="3" xfId="19" applyNumberFormat="1" applyFont="1" applyFill="1" applyBorder="1" applyAlignment="1">
      <alignment horizontal="center" vertical="top" wrapText="1"/>
    </xf>
    <xf numFmtId="4" fontId="10" fillId="8" borderId="3" xfId="6" applyNumberFormat="1" applyFont="1" applyFill="1" applyBorder="1" applyAlignment="1">
      <alignment horizontal="center" vertical="top"/>
    </xf>
    <xf numFmtId="4" fontId="10" fillId="8" borderId="3" xfId="6" applyNumberFormat="1" applyFont="1" applyFill="1" applyBorder="1" applyAlignment="1">
      <alignment vertical="top" wrapText="1"/>
    </xf>
    <xf numFmtId="164" fontId="10" fillId="8" borderId="3" xfId="6" applyNumberFormat="1" applyFont="1" applyFill="1" applyBorder="1" applyAlignment="1">
      <alignment vertical="top" wrapText="1"/>
    </xf>
    <xf numFmtId="164" fontId="10" fillId="8" borderId="3" xfId="6" applyNumberFormat="1" applyFont="1" applyFill="1" applyBorder="1" applyAlignment="1">
      <alignment horizontal="center" vertical="center" textRotation="90"/>
    </xf>
    <xf numFmtId="164" fontId="10" fillId="8" borderId="3" xfId="6" applyNumberFormat="1" applyFont="1" applyFill="1" applyBorder="1" applyAlignment="1">
      <alignment horizontal="center" vertical="top"/>
    </xf>
    <xf numFmtId="3" fontId="9" fillId="8" borderId="3" xfId="6" applyNumberFormat="1" applyFont="1" applyFill="1" applyBorder="1" applyAlignment="1">
      <alignment vertical="top" wrapText="1"/>
    </xf>
    <xf numFmtId="3" fontId="10" fillId="8" borderId="3" xfId="6" applyNumberFormat="1" applyFont="1" applyFill="1" applyBorder="1" applyAlignment="1">
      <alignment horizontal="center" vertical="center" textRotation="90"/>
    </xf>
    <xf numFmtId="3" fontId="10" fillId="8" borderId="3" xfId="6" applyNumberFormat="1" applyFont="1" applyFill="1" applyBorder="1" applyAlignment="1">
      <alignment vertical="top" wrapText="1"/>
    </xf>
    <xf numFmtId="164" fontId="10" fillId="8" borderId="3" xfId="20" applyNumberFormat="1" applyFont="1" applyFill="1" applyBorder="1" applyAlignment="1">
      <alignment vertical="top" wrapText="1"/>
    </xf>
    <xf numFmtId="3" fontId="10" fillId="8" borderId="3" xfId="20" applyNumberFormat="1" applyFont="1" applyFill="1" applyBorder="1" applyAlignment="1">
      <alignment horizontal="center" vertical="center" textRotation="90"/>
    </xf>
    <xf numFmtId="164" fontId="10" fillId="8" borderId="3" xfId="20" applyNumberFormat="1" applyFont="1" applyFill="1" applyBorder="1" applyAlignment="1">
      <alignment horizontal="center" vertical="top"/>
    </xf>
    <xf numFmtId="4" fontId="10" fillId="8" borderId="3" xfId="20" applyNumberFormat="1" applyFont="1" applyFill="1" applyBorder="1" applyAlignment="1">
      <alignment horizontal="center" vertical="top"/>
    </xf>
    <xf numFmtId="49" fontId="10" fillId="8" borderId="3" xfId="0" applyNumberFormat="1" applyFont="1" applyFill="1" applyBorder="1" applyAlignment="1">
      <alignment vertical="top" wrapText="1"/>
    </xf>
    <xf numFmtId="164" fontId="10" fillId="8" borderId="3" xfId="6" applyNumberFormat="1" applyFont="1" applyFill="1" applyBorder="1" applyAlignment="1">
      <alignment vertical="top"/>
    </xf>
    <xf numFmtId="0" fontId="10" fillId="8" borderId="3" xfId="6" applyNumberFormat="1" applyFont="1" applyFill="1" applyBorder="1" applyAlignment="1">
      <alignment vertical="top" wrapText="1"/>
    </xf>
    <xf numFmtId="4" fontId="10" fillId="8" borderId="3" xfId="0" applyNumberFormat="1" applyFont="1" applyFill="1" applyBorder="1" applyAlignment="1">
      <alignment horizontal="center" vertical="top"/>
    </xf>
    <xf numFmtId="2" fontId="11" fillId="8" borderId="3" xfId="0" applyNumberFormat="1" applyFont="1" applyFill="1" applyBorder="1" applyAlignment="1">
      <alignment horizontal="center" vertical="top"/>
    </xf>
    <xf numFmtId="171" fontId="10" fillId="8" borderId="3" xfId="19" applyNumberFormat="1" applyFont="1" applyFill="1" applyBorder="1" applyAlignment="1">
      <alignment horizontal="center" vertical="center" textRotation="90" wrapText="1"/>
    </xf>
    <xf numFmtId="171" fontId="10" fillId="8" borderId="3" xfId="19" applyNumberFormat="1" applyFont="1" applyFill="1" applyBorder="1" applyAlignment="1">
      <alignment horizontal="center" vertical="top" wrapText="1"/>
    </xf>
    <xf numFmtId="164" fontId="10" fillId="8" borderId="3" xfId="19" applyNumberFormat="1" applyFont="1" applyFill="1" applyBorder="1" applyAlignment="1">
      <alignment horizontal="center" vertical="top" wrapText="1"/>
    </xf>
    <xf numFmtId="49" fontId="10" fillId="8" borderId="3" xfId="13" applyNumberFormat="1" applyFont="1" applyFill="1" applyBorder="1" applyAlignment="1">
      <alignment vertical="top" wrapText="1"/>
    </xf>
    <xf numFmtId="164" fontId="10" fillId="8" borderId="3" xfId="20" applyNumberFormat="1" applyFont="1" applyFill="1" applyBorder="1" applyAlignment="1">
      <alignment horizontal="center" vertical="center" textRotation="90"/>
    </xf>
    <xf numFmtId="4" fontId="10" fillId="8" borderId="3" xfId="13" applyNumberFormat="1" applyFont="1" applyFill="1" applyBorder="1" applyAlignment="1">
      <alignment horizontal="center" vertical="top"/>
    </xf>
    <xf numFmtId="164" fontId="10" fillId="8" borderId="3" xfId="20" applyNumberFormat="1" applyFont="1" applyFill="1" applyBorder="1" applyAlignment="1">
      <alignment vertical="top"/>
    </xf>
    <xf numFmtId="4" fontId="10" fillId="8" borderId="3" xfId="6" applyNumberFormat="1" applyFont="1" applyFill="1" applyBorder="1" applyAlignment="1">
      <alignment horizontal="center" vertical="top" wrapText="1"/>
    </xf>
    <xf numFmtId="4" fontId="10" fillId="8" borderId="3" xfId="6" applyNumberFormat="1" applyFont="1" applyFill="1" applyBorder="1" applyAlignment="1">
      <alignment horizontal="center" vertical="center" textRotation="90"/>
    </xf>
    <xf numFmtId="0" fontId="6" fillId="8" borderId="3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vertical="top" wrapText="1"/>
    </xf>
    <xf numFmtId="4" fontId="9" fillId="7" borderId="3" xfId="6" applyNumberFormat="1" applyFont="1" applyFill="1" applyBorder="1" applyAlignment="1">
      <alignment horizontal="center" vertical="top"/>
    </xf>
    <xf numFmtId="0" fontId="22" fillId="7" borderId="3" xfId="0" applyFont="1" applyFill="1" applyBorder="1" applyAlignment="1">
      <alignment horizontal="center" vertical="top"/>
    </xf>
    <xf numFmtId="164" fontId="9" fillId="7" borderId="3" xfId="6" applyNumberFormat="1" applyFont="1" applyFill="1" applyBorder="1" applyAlignment="1">
      <alignment vertical="top"/>
    </xf>
    <xf numFmtId="164" fontId="9" fillId="7" borderId="3" xfId="6" applyNumberFormat="1" applyFont="1" applyFill="1" applyBorder="1" applyAlignment="1">
      <alignment horizontal="center" vertical="center" textRotation="90"/>
    </xf>
    <xf numFmtId="164" fontId="9" fillId="7" borderId="3" xfId="6" applyNumberFormat="1" applyFont="1" applyFill="1" applyBorder="1" applyAlignment="1">
      <alignment horizontal="center" vertical="top"/>
    </xf>
    <xf numFmtId="4" fontId="9" fillId="7" borderId="3" xfId="6" applyNumberFormat="1" applyFont="1" applyFill="1" applyBorder="1" applyAlignment="1">
      <alignment horizontal="center" vertical="center"/>
    </xf>
    <xf numFmtId="3" fontId="10" fillId="8" borderId="3" xfId="19" applyNumberFormat="1" applyFont="1" applyFill="1" applyBorder="1" applyAlignment="1">
      <alignment horizontal="center" vertical="top" wrapText="1"/>
    </xf>
    <xf numFmtId="164" fontId="10" fillId="8" borderId="3" xfId="0" applyNumberFormat="1" applyFont="1" applyFill="1" applyBorder="1" applyAlignment="1">
      <alignment vertical="top"/>
    </xf>
    <xf numFmtId="164" fontId="10" fillId="8" borderId="3" xfId="0" applyNumberFormat="1" applyFont="1" applyFill="1" applyBorder="1" applyAlignment="1">
      <alignment horizontal="center" vertical="top"/>
    </xf>
    <xf numFmtId="4" fontId="11" fillId="8" borderId="3" xfId="0" applyNumberFormat="1" applyFont="1" applyFill="1" applyBorder="1" applyAlignment="1">
      <alignment horizontal="center" vertical="top" wrapText="1"/>
    </xf>
    <xf numFmtId="4" fontId="9" fillId="7" borderId="3" xfId="6" applyNumberFormat="1" applyFont="1" applyFill="1" applyBorder="1" applyAlignment="1">
      <alignment horizontal="center" vertical="center" textRotation="90"/>
    </xf>
    <xf numFmtId="0" fontId="10" fillId="12" borderId="3" xfId="19" applyFont="1" applyFill="1" applyBorder="1" applyAlignment="1">
      <alignment horizontal="left" vertical="top" wrapText="1"/>
    </xf>
    <xf numFmtId="4" fontId="10" fillId="12" borderId="3" xfId="19" applyNumberFormat="1" applyFont="1" applyFill="1" applyBorder="1" applyAlignment="1">
      <alignment horizontal="center" vertical="top" wrapText="1"/>
    </xf>
    <xf numFmtId="4" fontId="10" fillId="12" borderId="3" xfId="6" applyNumberFormat="1" applyFont="1" applyFill="1" applyBorder="1" applyAlignment="1">
      <alignment horizontal="center" vertical="top"/>
    </xf>
    <xf numFmtId="0" fontId="10" fillId="12" borderId="3" xfId="0" applyFont="1" applyFill="1" applyBorder="1" applyAlignment="1">
      <alignment horizontal="center" vertical="top"/>
    </xf>
    <xf numFmtId="164" fontId="10" fillId="12" borderId="3" xfId="6" applyNumberFormat="1" applyFont="1" applyFill="1" applyBorder="1" applyAlignment="1">
      <alignment vertical="top"/>
    </xf>
    <xf numFmtId="164" fontId="10" fillId="12" borderId="3" xfId="6" applyNumberFormat="1" applyFont="1" applyFill="1" applyBorder="1" applyAlignment="1">
      <alignment horizontal="center" vertical="center" textRotation="90"/>
    </xf>
    <xf numFmtId="164" fontId="10" fillId="12" borderId="3" xfId="6" applyNumberFormat="1" applyFont="1" applyFill="1" applyBorder="1" applyAlignment="1">
      <alignment horizontal="center" vertical="top"/>
    </xf>
    <xf numFmtId="4" fontId="10" fillId="12" borderId="3" xfId="6" applyNumberFormat="1" applyFont="1" applyFill="1" applyBorder="1" applyAlignment="1">
      <alignment horizontal="center" vertical="center"/>
    </xf>
    <xf numFmtId="0" fontId="10" fillId="8" borderId="3" xfId="19" applyFont="1" applyFill="1" applyBorder="1" applyAlignment="1">
      <alignment horizontal="left" vertical="top" wrapText="1"/>
    </xf>
    <xf numFmtId="4" fontId="10" fillId="8" borderId="3" xfId="11" applyNumberFormat="1" applyFont="1" applyFill="1" applyBorder="1" applyAlignment="1">
      <alignment horizontal="center" vertical="top"/>
    </xf>
    <xf numFmtId="3" fontId="10" fillId="8" borderId="3" xfId="19" applyNumberFormat="1" applyFont="1" applyFill="1" applyBorder="1" applyAlignment="1">
      <alignment horizontal="center" vertical="top"/>
    </xf>
    <xf numFmtId="4" fontId="10" fillId="7" borderId="3" xfId="11" applyNumberFormat="1" applyFont="1" applyFill="1" applyBorder="1" applyAlignment="1">
      <alignment horizontal="center" vertical="center" textRotation="90"/>
    </xf>
    <xf numFmtId="4" fontId="10" fillId="7" borderId="3" xfId="11" applyNumberFormat="1" applyFont="1" applyFill="1" applyBorder="1" applyAlignment="1">
      <alignment horizontal="center" vertical="top"/>
    </xf>
    <xf numFmtId="164" fontId="11" fillId="7" borderId="3" xfId="0" applyNumberFormat="1" applyFont="1" applyFill="1" applyBorder="1" applyAlignment="1">
      <alignment horizontal="center" vertical="top"/>
    </xf>
    <xf numFmtId="164" fontId="10" fillId="7" borderId="3" xfId="11" applyNumberFormat="1" applyFont="1" applyFill="1" applyBorder="1" applyAlignment="1">
      <alignment horizontal="center" vertical="top"/>
    </xf>
    <xf numFmtId="4" fontId="10" fillId="7" borderId="3" xfId="11" applyNumberFormat="1" applyFont="1" applyFill="1" applyBorder="1" applyAlignment="1">
      <alignment horizontal="center" vertical="center"/>
    </xf>
    <xf numFmtId="4" fontId="10" fillId="8" borderId="3" xfId="11" applyNumberFormat="1" applyFont="1" applyFill="1" applyBorder="1" applyAlignment="1">
      <alignment horizontal="center" vertical="center"/>
    </xf>
    <xf numFmtId="10" fontId="10" fillId="7" borderId="3" xfId="0" applyNumberFormat="1" applyFont="1" applyFill="1" applyBorder="1" applyAlignment="1">
      <alignment horizontal="center" vertical="center" textRotation="90"/>
    </xf>
    <xf numFmtId="4" fontId="10" fillId="17" borderId="3" xfId="3" applyNumberFormat="1" applyFont="1" applyFill="1" applyBorder="1" applyAlignment="1" applyProtection="1">
      <alignment horizontal="center" vertical="top"/>
    </xf>
    <xf numFmtId="164" fontId="11" fillId="7" borderId="3" xfId="1" applyNumberFormat="1" applyFont="1" applyFill="1" applyBorder="1" applyAlignment="1" applyProtection="1">
      <alignment horizontal="center" vertical="top"/>
    </xf>
    <xf numFmtId="164" fontId="10" fillId="17" borderId="3" xfId="1" applyNumberFormat="1" applyFont="1" applyFill="1" applyBorder="1" applyAlignment="1" applyProtection="1">
      <alignment horizontal="center" vertical="top"/>
    </xf>
    <xf numFmtId="4" fontId="11" fillId="7" borderId="3" xfId="1" applyNumberFormat="1" applyFont="1" applyFill="1" applyBorder="1" applyAlignment="1" applyProtection="1">
      <alignment horizontal="center" vertical="top"/>
    </xf>
    <xf numFmtId="4" fontId="11" fillId="7" borderId="3" xfId="1" applyNumberFormat="1" applyFont="1" applyFill="1" applyBorder="1" applyAlignment="1" applyProtection="1">
      <alignment horizontal="center" vertical="center"/>
    </xf>
    <xf numFmtId="4" fontId="10" fillId="7" borderId="3" xfId="6" applyNumberFormat="1" applyFont="1" applyFill="1" applyBorder="1" applyAlignment="1">
      <alignment horizontal="center" vertical="center" textRotation="90"/>
    </xf>
    <xf numFmtId="4" fontId="10" fillId="7" borderId="3" xfId="6" applyNumberFormat="1" applyFont="1" applyFill="1" applyBorder="1" applyAlignment="1">
      <alignment horizontal="center" vertical="top"/>
    </xf>
    <xf numFmtId="164" fontId="10" fillId="7" borderId="3" xfId="6" applyNumberFormat="1" applyFont="1" applyFill="1" applyBorder="1" applyAlignment="1">
      <alignment horizontal="center" vertical="top"/>
    </xf>
    <xf numFmtId="4" fontId="11" fillId="7" borderId="3" xfId="0" applyNumberFormat="1" applyFont="1" applyFill="1" applyBorder="1" applyAlignment="1">
      <alignment horizontal="center" vertical="top"/>
    </xf>
    <xf numFmtId="164" fontId="11" fillId="8" borderId="3" xfId="0" applyNumberFormat="1" applyFont="1" applyFill="1" applyBorder="1" applyAlignment="1">
      <alignment horizontal="center" vertical="top"/>
    </xf>
    <xf numFmtId="164" fontId="10" fillId="0" borderId="3" xfId="11" applyNumberFormat="1" applyFont="1" applyFill="1" applyBorder="1" applyAlignment="1">
      <alignment horizontal="center" vertical="top"/>
    </xf>
    <xf numFmtId="4" fontId="10" fillId="0" borderId="3" xfId="11" applyNumberFormat="1" applyFont="1" applyFill="1" applyBorder="1" applyAlignment="1">
      <alignment horizontal="center" vertical="top"/>
    </xf>
    <xf numFmtId="4" fontId="10" fillId="7" borderId="3" xfId="20" applyNumberFormat="1" applyFont="1" applyFill="1" applyBorder="1" applyAlignment="1">
      <alignment horizontal="center" vertical="center" textRotation="90"/>
    </xf>
    <xf numFmtId="4" fontId="10" fillId="7" borderId="3" xfId="20" applyNumberFormat="1" applyFont="1" applyFill="1" applyBorder="1" applyAlignment="1">
      <alignment horizontal="center" vertical="top"/>
    </xf>
    <xf numFmtId="4" fontId="10" fillId="0" borderId="3" xfId="19" applyNumberFormat="1" applyFont="1" applyFill="1" applyBorder="1" applyAlignment="1">
      <alignment horizontal="center" vertical="top" wrapText="1"/>
    </xf>
    <xf numFmtId="0" fontId="10" fillId="7" borderId="3" xfId="20" applyNumberFormat="1" applyFont="1" applyFill="1" applyBorder="1" applyAlignment="1">
      <alignment horizontal="center" vertical="center" textRotation="90"/>
    </xf>
    <xf numFmtId="0" fontId="10" fillId="7" borderId="3" xfId="0" applyNumberFormat="1" applyFont="1" applyFill="1" applyBorder="1" applyAlignment="1">
      <alignment horizontal="center" vertical="top" wrapText="1"/>
    </xf>
    <xf numFmtId="164" fontId="10" fillId="7" borderId="3" xfId="0" applyNumberFormat="1" applyFont="1" applyFill="1" applyBorder="1" applyAlignment="1">
      <alignment horizontal="center" vertical="top"/>
    </xf>
    <xf numFmtId="4" fontId="10" fillId="7" borderId="3" xfId="0" applyNumberFormat="1" applyFont="1" applyFill="1" applyBorder="1" applyAlignment="1">
      <alignment horizontal="center" vertical="top"/>
    </xf>
    <xf numFmtId="4" fontId="10" fillId="7" borderId="3" xfId="0" applyNumberFormat="1" applyFont="1" applyFill="1" applyBorder="1" applyAlignment="1">
      <alignment horizontal="center" vertical="center"/>
    </xf>
    <xf numFmtId="0" fontId="10" fillId="7" borderId="3" xfId="20" applyNumberFormat="1" applyFont="1" applyFill="1" applyBorder="1" applyAlignment="1">
      <alignment horizontal="center" vertical="top"/>
    </xf>
    <xf numFmtId="3" fontId="10" fillId="7" borderId="3" xfId="6" applyNumberFormat="1" applyFont="1" applyFill="1" applyBorder="1" applyAlignment="1">
      <alignment horizontal="center" vertical="center" textRotation="90"/>
    </xf>
    <xf numFmtId="4" fontId="10" fillId="7" borderId="3" xfId="6" applyNumberFormat="1" applyFont="1" applyFill="1" applyBorder="1" applyAlignment="1">
      <alignment horizontal="center" vertical="center"/>
    </xf>
    <xf numFmtId="172" fontId="10" fillId="7" borderId="3" xfId="6" applyNumberFormat="1" applyFont="1" applyFill="1" applyBorder="1" applyAlignment="1">
      <alignment horizontal="center" vertical="top"/>
    </xf>
    <xf numFmtId="164" fontId="10" fillId="8" borderId="3" xfId="11" applyNumberFormat="1" applyFont="1" applyFill="1" applyBorder="1" applyAlignment="1">
      <alignment horizontal="center" vertical="top"/>
    </xf>
    <xf numFmtId="4" fontId="10" fillId="7" borderId="3" xfId="21" applyNumberFormat="1" applyFont="1" applyFill="1" applyBorder="1" applyAlignment="1">
      <alignment horizontal="center" vertical="center" textRotation="90"/>
    </xf>
    <xf numFmtId="4" fontId="10" fillId="7" borderId="3" xfId="21" applyNumberFormat="1" applyFont="1" applyFill="1" applyBorder="1" applyAlignment="1">
      <alignment horizontal="center" vertical="top"/>
    </xf>
    <xf numFmtId="164" fontId="10" fillId="0" borderId="3" xfId="6" applyNumberFormat="1" applyFont="1" applyFill="1" applyBorder="1" applyAlignment="1">
      <alignment horizontal="center" vertical="top"/>
    </xf>
    <xf numFmtId="3" fontId="10" fillId="7" borderId="3" xfId="11" applyNumberFormat="1" applyFont="1" applyFill="1" applyBorder="1" applyAlignment="1">
      <alignment horizontal="center" vertical="center" textRotation="90"/>
    </xf>
    <xf numFmtId="4" fontId="10" fillId="7" borderId="3" xfId="20" applyNumberFormat="1" applyFont="1" applyFill="1" applyBorder="1" applyAlignment="1">
      <alignment horizontal="center" vertical="center" textRotation="90" wrapText="1"/>
    </xf>
    <xf numFmtId="4" fontId="10" fillId="7" borderId="3" xfId="20" applyNumberFormat="1" applyFont="1" applyFill="1" applyBorder="1" applyAlignment="1">
      <alignment horizontal="center" vertical="top" wrapText="1"/>
    </xf>
    <xf numFmtId="4" fontId="10" fillId="7" borderId="3" xfId="22" applyNumberFormat="1" applyFont="1" applyFill="1" applyBorder="1" applyAlignment="1">
      <alignment horizontal="center" vertical="center" textRotation="90"/>
    </xf>
    <xf numFmtId="4" fontId="10" fillId="7" borderId="3" xfId="22" applyNumberFormat="1" applyFont="1" applyFill="1" applyBorder="1" applyAlignment="1">
      <alignment horizontal="center" vertical="top"/>
    </xf>
    <xf numFmtId="164" fontId="10" fillId="7" borderId="3" xfId="22" applyNumberFormat="1" applyFont="1" applyFill="1" applyBorder="1" applyAlignment="1">
      <alignment horizontal="center" vertical="top"/>
    </xf>
    <xf numFmtId="3" fontId="10" fillId="8" borderId="3" xfId="18" applyNumberFormat="1" applyFont="1" applyFill="1" applyBorder="1" applyAlignment="1">
      <alignment horizontal="center" vertical="top"/>
    </xf>
    <xf numFmtId="3" fontId="10" fillId="7" borderId="3" xfId="23" applyNumberFormat="1" applyFont="1" applyFill="1" applyBorder="1" applyAlignment="1" applyProtection="1">
      <alignment horizontal="center" vertical="center" textRotation="90"/>
    </xf>
    <xf numFmtId="4" fontId="10" fillId="7" borderId="3" xfId="23" applyNumberFormat="1" applyFont="1" applyFill="1" applyBorder="1" applyAlignment="1" applyProtection="1">
      <alignment horizontal="center" vertical="top"/>
    </xf>
    <xf numFmtId="3" fontId="10" fillId="7" borderId="3" xfId="0" applyNumberFormat="1" applyFont="1" applyFill="1" applyBorder="1" applyAlignment="1">
      <alignment horizontal="center" vertical="center" textRotation="90"/>
    </xf>
    <xf numFmtId="3" fontId="10" fillId="8" borderId="3" xfId="11" applyNumberFormat="1" applyFont="1" applyFill="1" applyBorder="1" applyAlignment="1">
      <alignment horizontal="center" vertical="center" textRotation="90"/>
    </xf>
    <xf numFmtId="4" fontId="10" fillId="0" borderId="3" xfId="11" applyNumberFormat="1" applyFont="1" applyFill="1" applyBorder="1" applyAlignment="1">
      <alignment horizontal="center" vertical="center"/>
    </xf>
    <xf numFmtId="10" fontId="10" fillId="8" borderId="3" xfId="0" applyNumberFormat="1" applyFont="1" applyFill="1" applyBorder="1" applyAlignment="1">
      <alignment horizontal="center" vertical="center" textRotation="90"/>
    </xf>
    <xf numFmtId="3" fontId="10" fillId="7" borderId="3" xfId="20" applyNumberFormat="1" applyFont="1" applyFill="1" applyBorder="1" applyAlignment="1">
      <alignment horizontal="center" vertical="center" textRotation="90"/>
    </xf>
    <xf numFmtId="1" fontId="10" fillId="7" borderId="3" xfId="0" applyNumberFormat="1" applyFont="1" applyFill="1" applyBorder="1" applyAlignment="1">
      <alignment horizontal="center" vertical="center" textRotation="90"/>
    </xf>
    <xf numFmtId="2" fontId="10" fillId="7" borderId="3" xfId="0" applyNumberFormat="1" applyFont="1" applyFill="1" applyBorder="1" applyAlignment="1">
      <alignment horizontal="center" vertical="top"/>
    </xf>
    <xf numFmtId="0" fontId="11" fillId="8" borderId="3" xfId="19" applyFont="1" applyFill="1" applyBorder="1" applyAlignment="1">
      <alignment vertical="top" wrapText="1"/>
    </xf>
    <xf numFmtId="49" fontId="10" fillId="0" borderId="1" xfId="19" applyNumberFormat="1" applyFont="1" applyFill="1" applyBorder="1" applyAlignment="1">
      <alignment horizontal="center" vertical="top" wrapText="1"/>
    </xf>
    <xf numFmtId="49" fontId="10" fillId="0" borderId="2" xfId="19" applyNumberFormat="1" applyFont="1" applyFill="1" applyBorder="1" applyAlignment="1">
      <alignment horizontal="center" vertical="top" wrapText="1"/>
    </xf>
    <xf numFmtId="49" fontId="10" fillId="0" borderId="16" xfId="19" applyNumberFormat="1" applyFont="1" applyFill="1" applyBorder="1" applyAlignment="1">
      <alignment horizontal="center" vertical="top" wrapText="1"/>
    </xf>
    <xf numFmtId="2" fontId="10" fillId="8" borderId="3" xfId="0" applyNumberFormat="1" applyFont="1" applyFill="1" applyBorder="1" applyAlignment="1">
      <alignment vertical="top" wrapText="1"/>
    </xf>
    <xf numFmtId="2" fontId="10" fillId="8" borderId="3" xfId="0" applyNumberFormat="1" applyFont="1" applyFill="1" applyBorder="1" applyAlignment="1">
      <alignment horizontal="center" vertical="top"/>
    </xf>
    <xf numFmtId="49" fontId="9" fillId="18" borderId="3" xfId="19" applyNumberFormat="1" applyFont="1" applyFill="1" applyBorder="1" applyAlignment="1">
      <alignment vertical="top" wrapText="1"/>
    </xf>
    <xf numFmtId="4" fontId="9" fillId="18" borderId="3" xfId="19" applyNumberFormat="1" applyFont="1" applyFill="1" applyBorder="1" applyAlignment="1">
      <alignment horizontal="center" vertical="top" wrapText="1"/>
    </xf>
    <xf numFmtId="4" fontId="9" fillId="18" borderId="3" xfId="0" applyNumberFormat="1" applyFont="1" applyFill="1" applyBorder="1" applyAlignment="1">
      <alignment horizontal="center" vertical="center"/>
    </xf>
    <xf numFmtId="3" fontId="10" fillId="18" borderId="3" xfId="19" applyNumberFormat="1" applyFont="1" applyFill="1" applyBorder="1" applyAlignment="1">
      <alignment horizontal="center" vertical="top" wrapText="1"/>
    </xf>
    <xf numFmtId="164" fontId="9" fillId="18" borderId="3" xfId="0" applyNumberFormat="1" applyFont="1" applyFill="1" applyBorder="1" applyAlignment="1">
      <alignment vertical="top"/>
    </xf>
    <xf numFmtId="164" fontId="9" fillId="18" borderId="3" xfId="0" applyNumberFormat="1" applyFont="1" applyFill="1" applyBorder="1" applyAlignment="1">
      <alignment horizontal="center" vertical="center" textRotation="90"/>
    </xf>
    <xf numFmtId="164" fontId="9" fillId="18" borderId="3" xfId="0" applyNumberFormat="1" applyFont="1" applyFill="1" applyBorder="1" applyAlignment="1">
      <alignment horizontal="center" vertical="top"/>
    </xf>
    <xf numFmtId="4" fontId="9" fillId="18" borderId="3" xfId="0" applyNumberFormat="1" applyFont="1" applyFill="1" applyBorder="1" applyAlignment="1">
      <alignment horizontal="center" vertical="top"/>
    </xf>
    <xf numFmtId="49" fontId="9" fillId="8" borderId="3" xfId="19" applyNumberFormat="1" applyFont="1" applyFill="1" applyBorder="1" applyAlignment="1">
      <alignment vertical="top" wrapText="1"/>
    </xf>
    <xf numFmtId="164" fontId="10" fillId="8" borderId="3" xfId="19" applyNumberFormat="1" applyFont="1" applyFill="1" applyBorder="1" applyAlignment="1">
      <alignment horizontal="center" vertical="center" textRotation="90" wrapText="1"/>
    </xf>
    <xf numFmtId="4" fontId="10" fillId="8" borderId="3" xfId="19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3" fontId="10" fillId="0" borderId="3" xfId="19" applyNumberFormat="1" applyFont="1" applyFill="1" applyBorder="1" applyAlignment="1">
      <alignment horizontal="center" vertical="top" wrapText="1"/>
    </xf>
    <xf numFmtId="4" fontId="10" fillId="0" borderId="3" xfId="19" applyNumberFormat="1" applyFont="1" applyFill="1" applyBorder="1" applyAlignment="1">
      <alignment horizontal="center" vertical="center" wrapText="1"/>
    </xf>
    <xf numFmtId="4" fontId="10" fillId="0" borderId="3" xfId="6" applyNumberFormat="1" applyFont="1" applyFill="1" applyBorder="1" applyAlignment="1">
      <alignment horizontal="center" vertical="center"/>
    </xf>
    <xf numFmtId="3" fontId="10" fillId="0" borderId="3" xfId="19" applyNumberFormat="1" applyFont="1" applyFill="1" applyBorder="1" applyAlignment="1">
      <alignment horizontal="center" vertical="top"/>
    </xf>
    <xf numFmtId="4" fontId="10" fillId="0" borderId="3" xfId="6" applyNumberFormat="1" applyFont="1" applyFill="1" applyBorder="1" applyAlignment="1">
      <alignment horizontal="center" vertical="center" textRotation="90"/>
    </xf>
    <xf numFmtId="4" fontId="10" fillId="0" borderId="3" xfId="6" applyNumberFormat="1" applyFont="1" applyFill="1" applyBorder="1" applyAlignment="1">
      <alignment horizontal="center" vertical="top"/>
    </xf>
    <xf numFmtId="4" fontId="10" fillId="7" borderId="3" xfId="19" applyNumberFormat="1" applyFont="1" applyFill="1" applyBorder="1" applyAlignment="1">
      <alignment horizontal="center" vertical="center" wrapText="1"/>
    </xf>
    <xf numFmtId="4" fontId="10" fillId="0" borderId="3" xfId="25" applyNumberFormat="1" applyFont="1" applyFill="1" applyBorder="1" applyAlignment="1" applyProtection="1">
      <alignment horizontal="center" vertical="center"/>
    </xf>
    <xf numFmtId="3" fontId="10" fillId="0" borderId="3" xfId="24" applyNumberFormat="1" applyFont="1" applyFill="1" applyBorder="1" applyAlignment="1">
      <alignment horizontal="center" vertical="top"/>
    </xf>
    <xf numFmtId="3" fontId="10" fillId="7" borderId="3" xfId="25" applyNumberFormat="1" applyFont="1" applyFill="1" applyBorder="1" applyAlignment="1" applyProtection="1">
      <alignment horizontal="center" vertical="center" textRotation="90"/>
    </xf>
    <xf numFmtId="4" fontId="10" fillId="7" borderId="3" xfId="25" applyNumberFormat="1" applyFont="1" applyFill="1" applyBorder="1" applyAlignment="1" applyProtection="1">
      <alignment horizontal="center" vertical="center"/>
    </xf>
    <xf numFmtId="0" fontId="10" fillId="12" borderId="3" xfId="0" applyFont="1" applyFill="1" applyBorder="1" applyAlignment="1">
      <alignment vertical="top"/>
    </xf>
    <xf numFmtId="4" fontId="9" fillId="12" borderId="3" xfId="19" applyNumberFormat="1" applyFont="1" applyFill="1" applyBorder="1" applyAlignment="1">
      <alignment horizontal="center" vertical="top" wrapText="1"/>
    </xf>
    <xf numFmtId="4" fontId="9" fillId="12" borderId="3" xfId="0" applyNumberFormat="1" applyFont="1" applyFill="1" applyBorder="1" applyAlignment="1">
      <alignment vertical="top"/>
    </xf>
    <xf numFmtId="4" fontId="9" fillId="12" borderId="3" xfId="0" applyNumberFormat="1" applyFont="1" applyFill="1" applyBorder="1" applyAlignment="1">
      <alignment horizontal="center" vertical="center" textRotation="90"/>
    </xf>
    <xf numFmtId="4" fontId="9" fillId="12" borderId="3" xfId="0" applyNumberFormat="1" applyFont="1" applyFill="1" applyBorder="1" applyAlignment="1">
      <alignment horizontal="center" vertical="top"/>
    </xf>
    <xf numFmtId="4" fontId="9" fillId="12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top" wrapText="1"/>
    </xf>
    <xf numFmtId="4" fontId="10" fillId="8" borderId="3" xfId="0" applyNumberFormat="1" applyFont="1" applyFill="1" applyBorder="1" applyAlignment="1">
      <alignment vertical="top" wrapText="1"/>
    </xf>
    <xf numFmtId="4" fontId="10" fillId="7" borderId="3" xfId="0" applyNumberFormat="1" applyFont="1" applyFill="1" applyBorder="1" applyAlignment="1">
      <alignment horizontal="center" vertical="center" textRotation="90"/>
    </xf>
    <xf numFmtId="4" fontId="10" fillId="8" borderId="3" xfId="0" applyNumberFormat="1" applyFont="1" applyFill="1" applyBorder="1" applyAlignment="1">
      <alignment horizontal="center" vertical="center" textRotation="90"/>
    </xf>
    <xf numFmtId="4" fontId="9" fillId="0" borderId="3" xfId="19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/>
    </xf>
    <xf numFmtId="4" fontId="10" fillId="8" borderId="3" xfId="0" applyNumberFormat="1" applyFont="1" applyFill="1" applyBorder="1" applyAlignment="1">
      <alignment vertical="top"/>
    </xf>
    <xf numFmtId="4" fontId="11" fillId="13" borderId="3" xfId="0" applyNumberFormat="1" applyFont="1" applyFill="1" applyBorder="1" applyAlignment="1">
      <alignment horizontal="center" vertical="center"/>
    </xf>
    <xf numFmtId="0" fontId="11" fillId="0" borderId="3" xfId="19" applyFont="1" applyFill="1" applyBorder="1" applyAlignment="1">
      <alignment vertical="top" wrapText="1"/>
    </xf>
    <xf numFmtId="164" fontId="10" fillId="7" borderId="3" xfId="6" applyNumberFormat="1" applyFont="1" applyFill="1" applyBorder="1" applyAlignment="1">
      <alignment horizontal="center" vertical="center" textRotation="90"/>
    </xf>
    <xf numFmtId="0" fontId="11" fillId="7" borderId="3" xfId="0" applyFont="1" applyFill="1" applyBorder="1" applyAlignment="1">
      <alignment horizontal="center" vertical="top"/>
    </xf>
    <xf numFmtId="0" fontId="10" fillId="0" borderId="14" xfId="19" applyFont="1" applyFill="1" applyBorder="1" applyAlignment="1">
      <alignment horizontal="left" vertical="top" wrapText="1"/>
    </xf>
    <xf numFmtId="3" fontId="10" fillId="7" borderId="3" xfId="19" applyNumberFormat="1" applyFont="1" applyFill="1" applyBorder="1" applyAlignment="1">
      <alignment horizontal="center" vertical="top" wrapText="1"/>
    </xf>
    <xf numFmtId="4" fontId="9" fillId="7" borderId="3" xfId="0" applyNumberFormat="1" applyFont="1" applyFill="1" applyBorder="1" applyAlignment="1">
      <alignment vertical="top"/>
    </xf>
    <xf numFmtId="0" fontId="9" fillId="7" borderId="3" xfId="0" applyNumberFormat="1" applyFont="1" applyFill="1" applyBorder="1" applyAlignment="1">
      <alignment horizontal="center" vertical="center" textRotation="90"/>
    </xf>
    <xf numFmtId="0" fontId="10" fillId="8" borderId="3" xfId="0" applyFont="1" applyFill="1" applyBorder="1" applyAlignment="1">
      <alignment vertical="top"/>
    </xf>
    <xf numFmtId="4" fontId="10" fillId="8" borderId="3" xfId="0" applyNumberFormat="1" applyFont="1" applyFill="1" applyBorder="1" applyAlignment="1">
      <alignment vertical="center" wrapText="1"/>
    </xf>
    <xf numFmtId="0" fontId="10" fillId="8" borderId="3" xfId="0" applyNumberFormat="1" applyFont="1" applyFill="1" applyBorder="1" applyAlignment="1">
      <alignment horizontal="center" vertical="center" textRotation="90"/>
    </xf>
    <xf numFmtId="0" fontId="10" fillId="8" borderId="3" xfId="26" applyFont="1" applyFill="1" applyBorder="1" applyAlignment="1">
      <alignment vertical="top" wrapText="1"/>
    </xf>
    <xf numFmtId="3" fontId="10" fillId="8" borderId="3" xfId="0" applyNumberFormat="1" applyFont="1" applyFill="1" applyBorder="1" applyAlignment="1">
      <alignment horizontal="center" vertical="center"/>
    </xf>
    <xf numFmtId="0" fontId="10" fillId="8" borderId="3" xfId="0" applyNumberFormat="1" applyFont="1" applyFill="1" applyBorder="1" applyAlignment="1">
      <alignment horizontal="center" vertical="center" textRotation="90" wrapText="1"/>
    </xf>
    <xf numFmtId="2" fontId="10" fillId="8" borderId="3" xfId="0" applyNumberFormat="1" applyFont="1" applyFill="1" applyBorder="1" applyAlignment="1">
      <alignment vertical="distributed" wrapText="1"/>
    </xf>
    <xf numFmtId="0" fontId="10" fillId="8" borderId="3" xfId="13" applyNumberFormat="1" applyFont="1" applyFill="1" applyBorder="1" applyAlignment="1">
      <alignment horizontal="center" vertical="center" textRotation="90"/>
    </xf>
    <xf numFmtId="3" fontId="10" fillId="8" borderId="3" xfId="19" applyNumberFormat="1" applyFont="1" applyFill="1" applyBorder="1" applyAlignment="1">
      <alignment horizontal="center" vertical="top" wrapText="1" shrinkToFit="1"/>
    </xf>
    <xf numFmtId="4" fontId="10" fillId="8" borderId="3" xfId="2" applyNumberFormat="1" applyFont="1" applyFill="1" applyBorder="1" applyAlignment="1">
      <alignment horizontal="center" vertical="center" wrapText="1"/>
    </xf>
    <xf numFmtId="0" fontId="10" fillId="8" borderId="3" xfId="13" applyFont="1" applyFill="1" applyBorder="1" applyAlignment="1">
      <alignment horizontal="center" vertical="top"/>
    </xf>
    <xf numFmtId="0" fontId="10" fillId="8" borderId="3" xfId="0" applyFont="1" applyFill="1" applyBorder="1" applyAlignment="1">
      <alignment horizontal="center" vertical="center"/>
    </xf>
    <xf numFmtId="0" fontId="10" fillId="16" borderId="3" xfId="18" applyFont="1" applyFill="1" applyBorder="1" applyAlignment="1">
      <alignment vertical="top" wrapText="1"/>
    </xf>
    <xf numFmtId="171" fontId="10" fillId="8" borderId="3" xfId="19" applyNumberFormat="1" applyFont="1" applyFill="1" applyBorder="1" applyAlignment="1">
      <alignment horizontal="center" vertical="center" wrapText="1"/>
    </xf>
    <xf numFmtId="4" fontId="10" fillId="8" borderId="3" xfId="9" applyNumberFormat="1" applyFont="1" applyFill="1" applyBorder="1" applyAlignment="1">
      <alignment horizontal="center" vertical="center"/>
    </xf>
    <xf numFmtId="0" fontId="10" fillId="8" borderId="3" xfId="9" applyFont="1" applyFill="1" applyBorder="1" applyAlignment="1">
      <alignment horizontal="center" vertical="top" wrapText="1"/>
    </xf>
    <xf numFmtId="4" fontId="10" fillId="8" borderId="3" xfId="9" applyNumberFormat="1" applyFont="1" applyFill="1" applyBorder="1" applyAlignment="1">
      <alignment vertical="center" wrapText="1"/>
    </xf>
    <xf numFmtId="0" fontId="10" fillId="8" borderId="3" xfId="9" applyNumberFormat="1" applyFont="1" applyFill="1" applyBorder="1" applyAlignment="1">
      <alignment horizontal="center" vertical="center" textRotation="90"/>
    </xf>
    <xf numFmtId="0" fontId="10" fillId="8" borderId="3" xfId="13" applyFont="1" applyFill="1" applyBorder="1" applyAlignment="1">
      <alignment horizontal="center" vertical="center"/>
    </xf>
    <xf numFmtId="4" fontId="11" fillId="14" borderId="3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left" vertical="top" wrapText="1"/>
    </xf>
    <xf numFmtId="4" fontId="9" fillId="7" borderId="3" xfId="0" applyNumberFormat="1" applyFont="1" applyFill="1" applyBorder="1" applyAlignment="1">
      <alignment vertical="center"/>
    </xf>
    <xf numFmtId="4" fontId="9" fillId="7" borderId="3" xfId="0" applyNumberFormat="1" applyFont="1" applyFill="1" applyBorder="1" applyAlignment="1">
      <alignment horizontal="center" vertical="center" textRotation="90"/>
    </xf>
    <xf numFmtId="0" fontId="6" fillId="3" borderId="7" xfId="0" applyFont="1" applyFill="1" applyBorder="1" applyAlignment="1">
      <alignment vertical="top" wrapText="1"/>
    </xf>
    <xf numFmtId="4" fontId="9" fillId="3" borderId="3" xfId="0" applyNumberFormat="1" applyFont="1" applyFill="1" applyBorder="1" applyAlignment="1">
      <alignment horizontal="center" vertical="center" wrapText="1"/>
    </xf>
    <xf numFmtId="3" fontId="10" fillId="3" borderId="3" xfId="19" applyNumberFormat="1" applyFont="1" applyFill="1" applyBorder="1" applyAlignment="1">
      <alignment horizontal="center" vertical="top" wrapText="1"/>
    </xf>
    <xf numFmtId="4" fontId="9" fillId="3" borderId="14" xfId="0" applyNumberFormat="1" applyFont="1" applyFill="1" applyBorder="1" applyAlignment="1">
      <alignment vertical="center" wrapText="1"/>
    </xf>
    <xf numFmtId="4" fontId="9" fillId="3" borderId="14" xfId="0" applyNumberFormat="1" applyFont="1" applyFill="1" applyBorder="1" applyAlignment="1">
      <alignment horizontal="center" vertical="center" textRotation="90"/>
    </xf>
    <xf numFmtId="0" fontId="11" fillId="3" borderId="7" xfId="0" applyFont="1" applyFill="1" applyBorder="1" applyAlignment="1">
      <alignment vertical="top" wrapText="1"/>
    </xf>
    <xf numFmtId="4" fontId="10" fillId="3" borderId="14" xfId="0" applyNumberFormat="1" applyFont="1" applyFill="1" applyBorder="1" applyAlignment="1">
      <alignment vertical="center"/>
    </xf>
    <xf numFmtId="4" fontId="10" fillId="3" borderId="14" xfId="0" applyNumberFormat="1" applyFont="1" applyFill="1" applyBorder="1" applyAlignment="1">
      <alignment horizontal="center" vertical="center" textRotation="90"/>
    </xf>
    <xf numFmtId="4" fontId="10" fillId="3" borderId="14" xfId="0" applyNumberFormat="1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8" borderId="7" xfId="19" applyFont="1" applyFill="1" applyBorder="1" applyAlignment="1">
      <alignment vertical="top" wrapText="1"/>
    </xf>
    <xf numFmtId="0" fontId="9" fillId="8" borderId="3" xfId="19" applyFont="1" applyFill="1" applyBorder="1" applyAlignment="1">
      <alignment horizontal="center" vertical="top"/>
    </xf>
    <xf numFmtId="4" fontId="9" fillId="8" borderId="14" xfId="0" applyNumberFormat="1" applyFont="1" applyFill="1" applyBorder="1" applyAlignment="1">
      <alignment horizontal="left" vertical="center" wrapText="1"/>
    </xf>
    <xf numFmtId="4" fontId="10" fillId="8" borderId="14" xfId="0" applyNumberFormat="1" applyFont="1" applyFill="1" applyBorder="1" applyAlignment="1">
      <alignment horizontal="center" vertical="center" textRotation="90"/>
    </xf>
    <xf numFmtId="4" fontId="11" fillId="8" borderId="3" xfId="0" applyNumberFormat="1" applyFont="1" applyFill="1" applyBorder="1" applyAlignment="1">
      <alignment horizontal="center"/>
    </xf>
    <xf numFmtId="4" fontId="9" fillId="8" borderId="14" xfId="0" applyNumberFormat="1" applyFont="1" applyFill="1" applyBorder="1" applyAlignment="1">
      <alignment horizontal="center" vertical="center" textRotation="90"/>
    </xf>
    <xf numFmtId="4" fontId="9" fillId="8" borderId="3" xfId="0" applyNumberFormat="1" applyFont="1" applyFill="1" applyBorder="1" applyAlignment="1">
      <alignment horizontal="center" vertical="center"/>
    </xf>
    <xf numFmtId="4" fontId="6" fillId="8" borderId="3" xfId="0" applyNumberFormat="1" applyFont="1" applyFill="1" applyBorder="1" applyAlignment="1">
      <alignment horizontal="center"/>
    </xf>
    <xf numFmtId="4" fontId="10" fillId="8" borderId="14" xfId="0" applyNumberFormat="1" applyFont="1" applyFill="1" applyBorder="1" applyAlignment="1">
      <alignment horizontal="left" vertical="center" wrapText="1"/>
    </xf>
    <xf numFmtId="0" fontId="37" fillId="0" borderId="0" xfId="0" applyFont="1"/>
    <xf numFmtId="0" fontId="9" fillId="10" borderId="3" xfId="4" applyFont="1" applyFill="1" applyBorder="1" applyAlignment="1">
      <alignment horizontal="center" vertical="top" wrapText="1"/>
    </xf>
    <xf numFmtId="3" fontId="9" fillId="10" borderId="3" xfId="4" applyNumberFormat="1" applyFont="1" applyFill="1" applyBorder="1" applyAlignment="1">
      <alignment horizontal="center" vertical="top" wrapText="1"/>
    </xf>
    <xf numFmtId="49" fontId="22" fillId="7" borderId="3" xfId="4" applyNumberFormat="1" applyFont="1" applyFill="1" applyBorder="1" applyAlignment="1">
      <alignment horizontal="center" vertical="center" wrapText="1"/>
    </xf>
    <xf numFmtId="164" fontId="9" fillId="7" borderId="3" xfId="4" applyNumberFormat="1" applyFont="1" applyFill="1" applyBorder="1" applyAlignment="1">
      <alignment horizontal="left" vertical="top" wrapText="1"/>
    </xf>
    <xf numFmtId="1" fontId="9" fillId="7" borderId="3" xfId="4" applyNumberFormat="1" applyFont="1" applyFill="1" applyBorder="1" applyAlignment="1">
      <alignment horizontal="center" vertical="top"/>
    </xf>
    <xf numFmtId="3" fontId="9" fillId="7" borderId="3" xfId="4" applyNumberFormat="1" applyFont="1" applyFill="1" applyBorder="1" applyAlignment="1">
      <alignment horizontal="center" vertical="top"/>
    </xf>
    <xf numFmtId="0" fontId="11" fillId="0" borderId="3" xfId="4" applyFont="1" applyFill="1" applyBorder="1" applyAlignment="1">
      <alignment horizontal="left" vertical="top" wrapText="1"/>
    </xf>
    <xf numFmtId="164" fontId="10" fillId="0" borderId="3" xfId="4" applyNumberFormat="1" applyFont="1" applyFill="1" applyBorder="1" applyAlignment="1">
      <alignment horizontal="center" vertical="top"/>
    </xf>
    <xf numFmtId="0" fontId="10" fillId="0" borderId="3" xfId="4" applyFont="1" applyFill="1" applyBorder="1" applyAlignment="1">
      <alignment horizontal="center" vertical="top" wrapText="1"/>
    </xf>
    <xf numFmtId="0" fontId="10" fillId="0" borderId="3" xfId="4" applyFont="1" applyFill="1" applyBorder="1" applyAlignment="1">
      <alignment horizontal="center" vertical="center" textRotation="90" wrapText="1"/>
    </xf>
    <xf numFmtId="1" fontId="10" fillId="0" borderId="3" xfId="4" applyNumberFormat="1" applyFont="1" applyFill="1" applyBorder="1" applyAlignment="1">
      <alignment horizontal="center" vertical="top"/>
    </xf>
    <xf numFmtId="4" fontId="10" fillId="0" borderId="3" xfId="4" applyNumberFormat="1" applyFont="1" applyFill="1" applyBorder="1" applyAlignment="1">
      <alignment horizontal="center" vertical="top"/>
    </xf>
    <xf numFmtId="3" fontId="10" fillId="0" borderId="3" xfId="4" applyNumberFormat="1" applyFont="1" applyFill="1" applyBorder="1" applyAlignment="1">
      <alignment horizontal="center" vertical="top"/>
    </xf>
    <xf numFmtId="3" fontId="11" fillId="0" borderId="3" xfId="0" applyNumberFormat="1" applyFont="1" applyBorder="1" applyAlignment="1">
      <alignment vertical="top"/>
    </xf>
    <xf numFmtId="3" fontId="6" fillId="7" borderId="3" xfId="4" applyNumberFormat="1" applyFont="1" applyFill="1" applyBorder="1" applyAlignment="1">
      <alignment horizontal="center" vertical="top" wrapText="1"/>
    </xf>
    <xf numFmtId="49" fontId="6" fillId="7" borderId="3" xfId="0" applyNumberFormat="1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 wrapText="1"/>
    </xf>
    <xf numFmtId="3" fontId="6" fillId="7" borderId="3" xfId="0" applyNumberFormat="1" applyFont="1" applyFill="1" applyBorder="1" applyAlignment="1">
      <alignment horizontal="center" vertical="top" wrapText="1"/>
    </xf>
    <xf numFmtId="0" fontId="9" fillId="7" borderId="3" xfId="4" applyFont="1" applyFill="1" applyBorder="1" applyAlignment="1">
      <alignment horizontal="center" vertical="center" textRotation="90" wrapText="1"/>
    </xf>
    <xf numFmtId="3" fontId="6" fillId="7" borderId="3" xfId="0" applyNumberFormat="1" applyFont="1" applyFill="1" applyBorder="1" applyAlignment="1">
      <alignment vertical="top"/>
    </xf>
    <xf numFmtId="0" fontId="6" fillId="0" borderId="3" xfId="4" applyFont="1" applyFill="1" applyBorder="1" applyAlignment="1">
      <alignment horizontal="center" vertical="top" wrapText="1"/>
    </xf>
    <xf numFmtId="3" fontId="6" fillId="10" borderId="3" xfId="0" applyNumberFormat="1" applyFont="1" applyFill="1" applyBorder="1" applyAlignment="1">
      <alignment horizontal="center"/>
    </xf>
    <xf numFmtId="0" fontId="10" fillId="10" borderId="3" xfId="4" applyFont="1" applyFill="1" applyBorder="1" applyAlignment="1">
      <alignment horizontal="center" vertical="center" wrapText="1"/>
    </xf>
    <xf numFmtId="4" fontId="6" fillId="10" borderId="3" xfId="0" applyNumberFormat="1" applyFont="1" applyFill="1" applyBorder="1" applyAlignment="1">
      <alignment horizontal="center"/>
    </xf>
    <xf numFmtId="4" fontId="6" fillId="10" borderId="3" xfId="0" applyNumberFormat="1" applyFont="1" applyFill="1" applyBorder="1" applyAlignment="1">
      <alignment horizontal="center" vertical="center"/>
    </xf>
    <xf numFmtId="0" fontId="6" fillId="7" borderId="3" xfId="4" applyFont="1" applyFill="1" applyBorder="1" applyAlignment="1">
      <alignment vertical="top" wrapText="1"/>
    </xf>
    <xf numFmtId="164" fontId="9" fillId="7" borderId="3" xfId="4" applyNumberFormat="1" applyFont="1" applyFill="1" applyBorder="1" applyAlignment="1">
      <alignment horizontal="center" vertical="top" wrapText="1"/>
    </xf>
    <xf numFmtId="49" fontId="11" fillId="8" borderId="8" xfId="17" applyNumberFormat="1" applyFont="1" applyFill="1" applyBorder="1" applyAlignment="1">
      <alignment vertical="top" wrapText="1"/>
    </xf>
    <xf numFmtId="49" fontId="11" fillId="8" borderId="9" xfId="17" applyNumberFormat="1" applyFont="1" applyFill="1" applyBorder="1" applyAlignment="1">
      <alignment vertical="top" wrapText="1"/>
    </xf>
    <xf numFmtId="49" fontId="11" fillId="8" borderId="10" xfId="17" applyNumberFormat="1" applyFont="1" applyFill="1" applyBorder="1" applyAlignment="1">
      <alignment vertical="top" wrapText="1"/>
    </xf>
    <xf numFmtId="164" fontId="10" fillId="8" borderId="3" xfId="4" applyNumberFormat="1" applyFont="1" applyFill="1" applyBorder="1" applyAlignment="1">
      <alignment horizontal="center" vertical="top" wrapText="1"/>
    </xf>
    <xf numFmtId="4" fontId="10" fillId="8" borderId="3" xfId="4" applyNumberFormat="1" applyFont="1" applyFill="1" applyBorder="1" applyAlignment="1">
      <alignment horizontal="center" vertical="center" wrapText="1"/>
    </xf>
    <xf numFmtId="49" fontId="11" fillId="3" borderId="11" xfId="17" applyNumberFormat="1" applyFont="1" applyFill="1" applyBorder="1" applyAlignment="1">
      <alignment vertical="top" wrapText="1"/>
    </xf>
    <xf numFmtId="49" fontId="11" fillId="3" borderId="0" xfId="17" applyNumberFormat="1" applyFont="1" applyFill="1" applyBorder="1" applyAlignment="1">
      <alignment vertical="top" wrapText="1"/>
    </xf>
    <xf numFmtId="49" fontId="11" fillId="3" borderId="12" xfId="17" applyNumberFormat="1" applyFont="1" applyFill="1" applyBorder="1" applyAlignment="1">
      <alignment vertical="top" wrapText="1"/>
    </xf>
    <xf numFmtId="0" fontId="10" fillId="3" borderId="3" xfId="4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top"/>
    </xf>
    <xf numFmtId="3" fontId="10" fillId="3" borderId="3" xfId="0" applyNumberFormat="1" applyFont="1" applyFill="1" applyBorder="1" applyAlignment="1">
      <alignment horizontal="center" vertical="top"/>
    </xf>
    <xf numFmtId="164" fontId="10" fillId="3" borderId="3" xfId="0" applyNumberFormat="1" applyFont="1" applyFill="1" applyBorder="1" applyAlignment="1">
      <alignment horizontal="center" vertical="top"/>
    </xf>
    <xf numFmtId="164" fontId="11" fillId="3" borderId="3" xfId="0" applyNumberFormat="1" applyFont="1" applyFill="1" applyBorder="1" applyAlignment="1">
      <alignment horizontal="center" vertical="top"/>
    </xf>
    <xf numFmtId="164" fontId="10" fillId="3" borderId="3" xfId="4" applyNumberFormat="1" applyFont="1" applyFill="1" applyBorder="1" applyAlignment="1">
      <alignment horizontal="center" vertical="top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3" xfId="4" applyNumberFormat="1" applyFont="1" applyFill="1" applyBorder="1" applyAlignment="1">
      <alignment horizontal="center" vertical="center"/>
    </xf>
    <xf numFmtId="0" fontId="10" fillId="3" borderId="13" xfId="4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center" vertical="top"/>
    </xf>
    <xf numFmtId="3" fontId="11" fillId="3" borderId="3" xfId="0" applyNumberFormat="1" applyFont="1" applyFill="1" applyBorder="1" applyAlignment="1">
      <alignment horizontal="center" vertical="top"/>
    </xf>
    <xf numFmtId="164" fontId="11" fillId="3" borderId="3" xfId="0" applyNumberFormat="1" applyFont="1" applyFill="1" applyBorder="1" applyAlignment="1">
      <alignment horizontal="center" vertical="top" wrapText="1"/>
    </xf>
    <xf numFmtId="4" fontId="11" fillId="3" borderId="3" xfId="0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top" wrapText="1"/>
    </xf>
    <xf numFmtId="164" fontId="9" fillId="3" borderId="6" xfId="4" applyNumberFormat="1" applyFont="1" applyFill="1" applyBorder="1" applyAlignment="1">
      <alignment horizontal="center" vertical="top"/>
    </xf>
    <xf numFmtId="0" fontId="11" fillId="3" borderId="6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vertical="top" wrapText="1"/>
    </xf>
    <xf numFmtId="0" fontId="9" fillId="19" borderId="3" xfId="0" applyFont="1" applyFill="1" applyBorder="1" applyAlignment="1">
      <alignment horizontal="center" vertical="center" textRotation="90" wrapText="1"/>
    </xf>
    <xf numFmtId="0" fontId="9" fillId="19" borderId="3" xfId="0" applyFont="1" applyFill="1" applyBorder="1" applyAlignment="1">
      <alignment horizontal="center" vertical="center" wrapText="1"/>
    </xf>
    <xf numFmtId="4" fontId="9" fillId="19" borderId="3" xfId="0" applyNumberFormat="1" applyFont="1" applyFill="1" applyBorder="1" applyAlignment="1">
      <alignment horizontal="center" vertical="center" wrapText="1"/>
    </xf>
    <xf numFmtId="49" fontId="6" fillId="7" borderId="3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top" wrapText="1"/>
    </xf>
    <xf numFmtId="3" fontId="9" fillId="7" borderId="3" xfId="6" applyNumberFormat="1" applyFont="1" applyFill="1" applyBorder="1" applyAlignment="1">
      <alignment horizontal="center" vertical="top"/>
    </xf>
    <xf numFmtId="164" fontId="10" fillId="0" borderId="3" xfId="0" applyNumberFormat="1" applyFont="1" applyBorder="1" applyAlignment="1">
      <alignment horizontal="center" vertical="top" wrapText="1"/>
    </xf>
    <xf numFmtId="4" fontId="10" fillId="0" borderId="3" xfId="2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3" fontId="10" fillId="0" borderId="3" xfId="20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vertical="top"/>
    </xf>
    <xf numFmtId="2" fontId="6" fillId="7" borderId="3" xfId="0" applyNumberFormat="1" applyFont="1" applyFill="1" applyBorder="1" applyAlignment="1">
      <alignment vertical="top" wrapText="1"/>
    </xf>
    <xf numFmtId="2" fontId="6" fillId="7" borderId="3" xfId="0" applyNumberFormat="1" applyFont="1" applyFill="1" applyBorder="1" applyAlignment="1">
      <alignment horizontal="center" vertical="center" wrapText="1"/>
    </xf>
    <xf numFmtId="2" fontId="9" fillId="7" borderId="3" xfId="0" applyNumberFormat="1" applyFont="1" applyFill="1" applyBorder="1" applyAlignment="1">
      <alignment horizontal="left" vertical="top" wrapText="1"/>
    </xf>
    <xf numFmtId="2" fontId="10" fillId="7" borderId="3" xfId="0" applyNumberFormat="1" applyFont="1" applyFill="1" applyBorder="1" applyAlignment="1">
      <alignment horizontal="center" vertical="top" wrapText="1"/>
    </xf>
    <xf numFmtId="2" fontId="9" fillId="7" borderId="3" xfId="0" applyNumberFormat="1" applyFont="1" applyFill="1" applyBorder="1" applyAlignment="1">
      <alignment horizontal="center" vertical="center" textRotation="90"/>
    </xf>
    <xf numFmtId="4" fontId="10" fillId="0" borderId="3" xfId="20" applyNumberFormat="1" applyFont="1" applyFill="1" applyBorder="1" applyAlignment="1">
      <alignment horizontal="center" vertical="top"/>
    </xf>
    <xf numFmtId="0" fontId="10" fillId="0" borderId="3" xfId="0" applyFont="1" applyBorder="1" applyAlignment="1">
      <alignment vertical="top" wrapText="1"/>
    </xf>
    <xf numFmtId="3" fontId="10" fillId="0" borderId="3" xfId="11" applyNumberFormat="1" applyFont="1" applyBorder="1" applyAlignment="1">
      <alignment horizontal="center" vertical="top"/>
    </xf>
    <xf numFmtId="4" fontId="10" fillId="0" borderId="3" xfId="0" applyNumberFormat="1" applyFont="1" applyBorder="1" applyAlignment="1">
      <alignment horizontal="center" vertical="top"/>
    </xf>
    <xf numFmtId="0" fontId="6" fillId="19" borderId="3" xfId="0" applyFont="1" applyFill="1" applyBorder="1" applyAlignment="1">
      <alignment horizontal="center" vertical="center" textRotation="90" wrapText="1"/>
    </xf>
    <xf numFmtId="0" fontId="6" fillId="19" borderId="3" xfId="0" applyFont="1" applyFill="1" applyBorder="1" applyAlignment="1">
      <alignment horizontal="center" vertical="center" wrapText="1"/>
    </xf>
    <xf numFmtId="4" fontId="6" fillId="19" borderId="3" xfId="0" applyNumberFormat="1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left" vertical="center" wrapText="1"/>
    </xf>
    <xf numFmtId="0" fontId="20" fillId="7" borderId="3" xfId="0" applyFont="1" applyFill="1" applyBorder="1" applyAlignment="1">
      <alignment horizontal="center" vertical="center" wrapText="1"/>
    </xf>
    <xf numFmtId="3" fontId="20" fillId="7" borderId="3" xfId="0" applyNumberFormat="1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textRotation="90" wrapText="1"/>
    </xf>
    <xf numFmtId="4" fontId="20" fillId="7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0" fontId="13" fillId="3" borderId="3" xfId="0" applyFont="1" applyFill="1" applyBorder="1" applyAlignment="1">
      <alignment vertical="top" wrapText="1"/>
    </xf>
    <xf numFmtId="4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4" fontId="13" fillId="3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1" fillId="8" borderId="3" xfId="0" applyNumberFormat="1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textRotation="90" wrapText="1"/>
    </xf>
    <xf numFmtId="0" fontId="13" fillId="7" borderId="3" xfId="0" applyFont="1" applyFill="1" applyBorder="1" applyAlignment="1">
      <alignment horizontal="center" vertical="center" wrapText="1"/>
    </xf>
    <xf numFmtId="4" fontId="6" fillId="7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4" fontId="11" fillId="0" borderId="3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11" fillId="3" borderId="3" xfId="0" applyFont="1" applyFill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7" borderId="3" xfId="0" applyFont="1" applyFill="1" applyBorder="1" applyAlignment="1">
      <alignment horizontal="left" wrapText="1"/>
    </xf>
    <xf numFmtId="49" fontId="20" fillId="7" borderId="3" xfId="0" applyNumberFormat="1" applyFont="1" applyFill="1" applyBorder="1" applyAlignment="1">
      <alignment horizontal="center" vertical="center" wrapText="1"/>
    </xf>
    <xf numFmtId="4" fontId="6" fillId="7" borderId="3" xfId="0" applyNumberFormat="1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3" xfId="0" applyFont="1" applyFill="1" applyBorder="1"/>
    <xf numFmtId="2" fontId="6" fillId="7" borderId="3" xfId="0" applyNumberFormat="1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center" vertical="center"/>
    </xf>
    <xf numFmtId="0" fontId="11" fillId="3" borderId="3" xfId="0" applyFont="1" applyFill="1" applyBorder="1"/>
    <xf numFmtId="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11" fillId="0" borderId="3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20" borderId="0" xfId="0" applyFont="1" applyFill="1"/>
    <xf numFmtId="164" fontId="4" fillId="0" borderId="0" xfId="0" applyNumberFormat="1" applyFont="1" applyFill="1" applyAlignment="1">
      <alignment vertical="center"/>
    </xf>
    <xf numFmtId="0" fontId="5" fillId="0" borderId="0" xfId="0" applyFont="1" applyFill="1"/>
    <xf numFmtId="4" fontId="5" fillId="0" borderId="0" xfId="0" applyNumberFormat="1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vertical="top"/>
    </xf>
    <xf numFmtId="0" fontId="5" fillId="0" borderId="0" xfId="0" applyFont="1" applyFill="1" applyBorder="1"/>
    <xf numFmtId="0" fontId="19" fillId="0" borderId="0" xfId="0" applyFont="1" applyFill="1"/>
    <xf numFmtId="0" fontId="33" fillId="0" borderId="0" xfId="0" applyFont="1" applyFill="1"/>
    <xf numFmtId="0" fontId="37" fillId="0" borderId="0" xfId="0" applyFont="1" applyFill="1"/>
    <xf numFmtId="0" fontId="1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164" fontId="9" fillId="3" borderId="3" xfId="4" applyNumberFormat="1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top" wrapText="1"/>
    </xf>
    <xf numFmtId="0" fontId="9" fillId="19" borderId="4" xfId="0" applyFont="1" applyFill="1" applyBorder="1" applyAlignment="1">
      <alignment horizontal="center" vertical="center" wrapText="1"/>
    </xf>
    <xf numFmtId="0" fontId="9" fillId="19" borderId="6" xfId="0" applyFont="1" applyFill="1" applyBorder="1" applyAlignment="1">
      <alignment horizontal="center" vertical="center" wrapText="1"/>
    </xf>
    <xf numFmtId="0" fontId="9" fillId="19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19" borderId="3" xfId="19" applyFont="1" applyFill="1" applyBorder="1" applyAlignment="1">
      <alignment horizontal="center" vertical="center" wrapText="1"/>
    </xf>
    <xf numFmtId="0" fontId="9" fillId="10" borderId="3" xfId="4" applyFont="1" applyFill="1" applyBorder="1" applyAlignment="1">
      <alignment horizontal="center" vertical="center" wrapText="1"/>
    </xf>
    <xf numFmtId="0" fontId="10" fillId="0" borderId="7" xfId="4" applyFont="1" applyBorder="1" applyAlignment="1">
      <alignment horizontal="left" vertical="top" wrapText="1"/>
    </xf>
    <xf numFmtId="0" fontId="10" fillId="0" borderId="13" xfId="4" applyFont="1" applyBorder="1" applyAlignment="1">
      <alignment horizontal="left" vertical="top" wrapText="1"/>
    </xf>
    <xf numFmtId="0" fontId="10" fillId="0" borderId="7" xfId="4" applyFont="1" applyBorder="1" applyAlignment="1">
      <alignment vertical="top" wrapText="1"/>
    </xf>
    <xf numFmtId="0" fontId="10" fillId="0" borderId="13" xfId="4" applyFont="1" applyBorder="1" applyAlignment="1">
      <alignment vertical="top" wrapText="1"/>
    </xf>
    <xf numFmtId="164" fontId="10" fillId="8" borderId="3" xfId="4" applyNumberFormat="1" applyFont="1" applyFill="1" applyBorder="1" applyAlignment="1">
      <alignment horizontal="center" vertical="top" wrapText="1"/>
    </xf>
    <xf numFmtId="164" fontId="10" fillId="3" borderId="3" xfId="4" applyNumberFormat="1" applyFont="1" applyFill="1" applyBorder="1" applyAlignment="1">
      <alignment horizontal="center" vertical="top" wrapText="1"/>
    </xf>
    <xf numFmtId="164" fontId="10" fillId="3" borderId="5" xfId="4" applyNumberFormat="1" applyFont="1" applyFill="1" applyBorder="1" applyAlignment="1">
      <alignment horizontal="center" vertical="top" wrapText="1"/>
    </xf>
    <xf numFmtId="0" fontId="10" fillId="3" borderId="3" xfId="4" applyFont="1" applyFill="1" applyBorder="1" applyAlignment="1">
      <alignment horizontal="center" vertical="top" wrapText="1"/>
    </xf>
    <xf numFmtId="49" fontId="11" fillId="3" borderId="3" xfId="17" applyNumberFormat="1" applyFont="1" applyFill="1" applyBorder="1" applyAlignment="1">
      <alignment horizontal="center" vertical="top" wrapText="1"/>
    </xf>
    <xf numFmtId="0" fontId="10" fillId="3" borderId="5" xfId="4" applyFont="1" applyFill="1" applyBorder="1" applyAlignment="1">
      <alignment horizontal="center" vertical="top" wrapText="1"/>
    </xf>
    <xf numFmtId="4" fontId="6" fillId="7" borderId="7" xfId="0" applyNumberFormat="1" applyFont="1" applyFill="1" applyBorder="1" applyAlignment="1">
      <alignment horizontal="center" vertical="center"/>
    </xf>
    <xf numFmtId="4" fontId="6" fillId="7" borderId="14" xfId="0" applyNumberFormat="1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49" fontId="9" fillId="7" borderId="7" xfId="4" applyNumberFormat="1" applyFont="1" applyFill="1" applyBorder="1" applyAlignment="1">
      <alignment horizontal="center" vertical="center" wrapText="1"/>
    </xf>
    <xf numFmtId="49" fontId="9" fillId="7" borderId="14" xfId="4" applyNumberFormat="1" applyFont="1" applyFill="1" applyBorder="1" applyAlignment="1">
      <alignment horizontal="center" vertical="center" wrapText="1"/>
    </xf>
    <xf numFmtId="0" fontId="9" fillId="7" borderId="7" xfId="4" applyFont="1" applyFill="1" applyBorder="1" applyAlignment="1">
      <alignment horizontal="left" vertical="top" wrapText="1"/>
    </xf>
    <xf numFmtId="0" fontId="9" fillId="7" borderId="14" xfId="4" applyFont="1" applyFill="1" applyBorder="1" applyAlignment="1">
      <alignment horizontal="left" vertical="top" wrapText="1"/>
    </xf>
    <xf numFmtId="0" fontId="9" fillId="7" borderId="7" xfId="4" applyFont="1" applyFill="1" applyBorder="1" applyAlignment="1">
      <alignment horizontal="center" vertical="top"/>
    </xf>
    <xf numFmtId="0" fontId="9" fillId="7" borderId="14" xfId="4" applyFont="1" applyFill="1" applyBorder="1" applyAlignment="1">
      <alignment horizontal="center" vertical="top"/>
    </xf>
    <xf numFmtId="4" fontId="11" fillId="8" borderId="7" xfId="0" applyNumberFormat="1" applyFont="1" applyFill="1" applyBorder="1" applyAlignment="1">
      <alignment horizontal="center" vertical="center"/>
    </xf>
    <xf numFmtId="4" fontId="11" fillId="8" borderId="14" xfId="0" applyNumberFormat="1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6" fillId="7" borderId="7" xfId="4" applyFont="1" applyFill="1" applyBorder="1" applyAlignment="1">
      <alignment horizontal="left" vertical="top" wrapText="1"/>
    </xf>
    <xf numFmtId="0" fontId="6" fillId="7" borderId="14" xfId="4" applyFont="1" applyFill="1" applyBorder="1" applyAlignment="1">
      <alignment horizontal="left" vertical="top" wrapText="1"/>
    </xf>
    <xf numFmtId="49" fontId="9" fillId="3" borderId="8" xfId="19" applyNumberFormat="1" applyFont="1" applyFill="1" applyBorder="1" applyAlignment="1">
      <alignment horizontal="center" vertical="center" wrapText="1"/>
    </xf>
    <xf numFmtId="49" fontId="9" fillId="3" borderId="9" xfId="19" applyNumberFormat="1" applyFont="1" applyFill="1" applyBorder="1" applyAlignment="1">
      <alignment horizontal="center" vertical="center" wrapText="1"/>
    </xf>
    <xf numFmtId="49" fontId="9" fillId="3" borderId="10" xfId="19" applyNumberFormat="1" applyFont="1" applyFill="1" applyBorder="1" applyAlignment="1">
      <alignment horizontal="center" vertical="center" wrapText="1"/>
    </xf>
    <xf numFmtId="49" fontId="9" fillId="3" borderId="11" xfId="19" applyNumberFormat="1" applyFont="1" applyFill="1" applyBorder="1" applyAlignment="1">
      <alignment horizontal="center" vertical="center" wrapText="1"/>
    </xf>
    <xf numFmtId="49" fontId="9" fillId="3" borderId="0" xfId="19" applyNumberFormat="1" applyFont="1" applyFill="1" applyBorder="1" applyAlignment="1">
      <alignment horizontal="center" vertical="center" wrapText="1"/>
    </xf>
    <xf numFmtId="49" fontId="9" fillId="3" borderId="12" xfId="19" applyNumberFormat="1" applyFont="1" applyFill="1" applyBorder="1" applyAlignment="1">
      <alignment horizontal="center" vertical="center" wrapText="1"/>
    </xf>
    <xf numFmtId="49" fontId="9" fillId="3" borderId="1" xfId="19" applyNumberFormat="1" applyFont="1" applyFill="1" applyBorder="1" applyAlignment="1">
      <alignment horizontal="center" vertical="center" wrapText="1"/>
    </xf>
    <xf numFmtId="49" fontId="9" fillId="3" borderId="2" xfId="19" applyNumberFormat="1" applyFont="1" applyFill="1" applyBorder="1" applyAlignment="1">
      <alignment horizontal="center" vertical="center" wrapText="1"/>
    </xf>
    <xf numFmtId="49" fontId="9" fillId="3" borderId="16" xfId="19" applyNumberFormat="1" applyFont="1" applyFill="1" applyBorder="1" applyAlignment="1">
      <alignment horizontal="center" vertical="center" wrapText="1"/>
    </xf>
    <xf numFmtId="0" fontId="10" fillId="8" borderId="7" xfId="19" applyFont="1" applyFill="1" applyBorder="1" applyAlignment="1">
      <alignment horizontal="left" vertical="top" wrapText="1"/>
    </xf>
    <xf numFmtId="0" fontId="10" fillId="8" borderId="13" xfId="19" applyFont="1" applyFill="1" applyBorder="1" applyAlignment="1">
      <alignment horizontal="left" vertical="top" wrapText="1"/>
    </xf>
    <xf numFmtId="0" fontId="10" fillId="8" borderId="14" xfId="19" applyFont="1" applyFill="1" applyBorder="1" applyAlignment="1">
      <alignment horizontal="left" vertical="top" wrapText="1"/>
    </xf>
    <xf numFmtId="49" fontId="10" fillId="8" borderId="8" xfId="0" applyNumberFormat="1" applyFont="1" applyFill="1" applyBorder="1" applyAlignment="1">
      <alignment horizontal="center" vertical="top" wrapText="1"/>
    </xf>
    <xf numFmtId="49" fontId="10" fillId="8" borderId="9" xfId="0" applyNumberFormat="1" applyFont="1" applyFill="1" applyBorder="1" applyAlignment="1">
      <alignment horizontal="center" vertical="top" wrapText="1"/>
    </xf>
    <xf numFmtId="49" fontId="10" fillId="8" borderId="10" xfId="0" applyNumberFormat="1" applyFont="1" applyFill="1" applyBorder="1" applyAlignment="1">
      <alignment horizontal="center" vertical="top" wrapText="1"/>
    </xf>
    <xf numFmtId="49" fontId="10" fillId="8" borderId="1" xfId="0" applyNumberFormat="1" applyFont="1" applyFill="1" applyBorder="1" applyAlignment="1">
      <alignment horizontal="center" vertical="top" wrapText="1"/>
    </xf>
    <xf numFmtId="49" fontId="10" fillId="8" borderId="2" xfId="0" applyNumberFormat="1" applyFont="1" applyFill="1" applyBorder="1" applyAlignment="1">
      <alignment horizontal="center" vertical="top" wrapText="1"/>
    </xf>
    <xf numFmtId="49" fontId="10" fillId="8" borderId="16" xfId="0" applyNumberFormat="1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14" borderId="4" xfId="26" applyFont="1" applyFill="1" applyBorder="1" applyAlignment="1">
      <alignment horizontal="center" vertical="center" wrapText="1"/>
    </xf>
    <xf numFmtId="0" fontId="10" fillId="14" borderId="6" xfId="26" applyFont="1" applyFill="1" applyBorder="1" applyAlignment="1">
      <alignment horizontal="center" vertical="center" wrapText="1"/>
    </xf>
    <xf numFmtId="0" fontId="10" fillId="14" borderId="5" xfId="26" applyFont="1" applyFill="1" applyBorder="1" applyAlignment="1">
      <alignment horizontal="center" vertical="center" wrapText="1"/>
    </xf>
    <xf numFmtId="0" fontId="10" fillId="8" borderId="3" xfId="19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0" fillId="8" borderId="3" xfId="24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4" fontId="10" fillId="0" borderId="3" xfId="25" applyNumberFormat="1" applyFont="1" applyFill="1" applyBorder="1" applyAlignment="1" applyProtection="1">
      <alignment vertical="top" wrapText="1"/>
    </xf>
    <xf numFmtId="0" fontId="11" fillId="0" borderId="3" xfId="0" applyFont="1" applyBorder="1" applyAlignment="1">
      <alignment vertical="top" wrapText="1"/>
    </xf>
    <xf numFmtId="0" fontId="11" fillId="8" borderId="3" xfId="19" applyFont="1" applyFill="1" applyBorder="1" applyAlignment="1">
      <alignment vertical="top" wrapText="1"/>
    </xf>
    <xf numFmtId="4" fontId="10" fillId="0" borderId="3" xfId="6" applyNumberFormat="1" applyFont="1" applyFill="1" applyBorder="1" applyAlignment="1">
      <alignment vertical="top" wrapText="1"/>
    </xf>
    <xf numFmtId="49" fontId="10" fillId="8" borderId="3" xfId="0" applyNumberFormat="1" applyFont="1" applyFill="1" applyBorder="1" applyAlignment="1">
      <alignment horizontal="center" vertical="top" wrapText="1"/>
    </xf>
    <xf numFmtId="0" fontId="11" fillId="8" borderId="3" xfId="0" applyFont="1" applyFill="1" applyBorder="1" applyAlignment="1">
      <alignment horizontal="center" vertical="top" wrapText="1"/>
    </xf>
    <xf numFmtId="0" fontId="10" fillId="0" borderId="7" xfId="19" applyFont="1" applyFill="1" applyBorder="1" applyAlignment="1">
      <alignment horizontal="left" vertical="top" wrapText="1"/>
    </xf>
    <xf numFmtId="0" fontId="10" fillId="0" borderId="13" xfId="19" applyFont="1" applyFill="1" applyBorder="1" applyAlignment="1">
      <alignment horizontal="left" vertical="top" wrapText="1"/>
    </xf>
    <xf numFmtId="0" fontId="10" fillId="0" borderId="14" xfId="19" applyFont="1" applyFill="1" applyBorder="1" applyAlignment="1">
      <alignment horizontal="left" vertical="top" wrapText="1"/>
    </xf>
    <xf numFmtId="3" fontId="9" fillId="0" borderId="3" xfId="19" applyNumberFormat="1" applyFont="1" applyFill="1" applyBorder="1" applyAlignment="1">
      <alignment horizontal="center" vertical="top" wrapText="1" shrinkToFit="1"/>
    </xf>
    <xf numFmtId="4" fontId="10" fillId="0" borderId="3" xfId="19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4" fontId="10" fillId="0" borderId="3" xfId="6" applyNumberFormat="1" applyFont="1" applyFill="1" applyBorder="1" applyAlignment="1">
      <alignment vertical="top"/>
    </xf>
    <xf numFmtId="0" fontId="10" fillId="8" borderId="3" xfId="19" applyFont="1" applyFill="1" applyBorder="1" applyAlignment="1">
      <alignment vertical="top" wrapText="1"/>
    </xf>
    <xf numFmtId="2" fontId="10" fillId="7" borderId="3" xfId="0" applyNumberFormat="1" applyFont="1" applyFill="1" applyBorder="1" applyAlignment="1">
      <alignment vertical="top" wrapText="1"/>
    </xf>
    <xf numFmtId="49" fontId="9" fillId="18" borderId="3" xfId="19" applyNumberFormat="1" applyFont="1" applyFill="1" applyBorder="1" applyAlignment="1">
      <alignment horizontal="center" vertical="top" wrapText="1"/>
    </xf>
    <xf numFmtId="0" fontId="11" fillId="18" borderId="3" xfId="0" applyFont="1" applyFill="1" applyBorder="1" applyAlignment="1">
      <alignment horizontal="center" vertical="top" wrapText="1"/>
    </xf>
    <xf numFmtId="0" fontId="10" fillId="0" borderId="3" xfId="19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8" borderId="3" xfId="19" applyFont="1" applyFill="1" applyBorder="1" applyAlignment="1">
      <alignment horizontal="left" vertical="top" wrapText="1"/>
    </xf>
    <xf numFmtId="49" fontId="9" fillId="0" borderId="3" xfId="19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" fontId="10" fillId="7" borderId="3" xfId="6" applyNumberFormat="1" applyFont="1" applyFill="1" applyBorder="1" applyAlignment="1">
      <alignment vertical="top" wrapText="1"/>
    </xf>
    <xf numFmtId="0" fontId="10" fillId="7" borderId="3" xfId="0" applyFont="1" applyFill="1" applyBorder="1" applyAlignment="1">
      <alignment vertical="top" wrapText="1"/>
    </xf>
    <xf numFmtId="4" fontId="10" fillId="7" borderId="3" xfId="11" applyNumberFormat="1" applyFont="1" applyFill="1" applyBorder="1" applyAlignment="1">
      <alignment vertical="top" wrapText="1"/>
    </xf>
    <xf numFmtId="4" fontId="10" fillId="7" borderId="3" xfId="20" applyNumberFormat="1" applyFont="1" applyFill="1" applyBorder="1" applyAlignment="1">
      <alignment vertical="top" wrapText="1"/>
    </xf>
    <xf numFmtId="4" fontId="10" fillId="7" borderId="3" xfId="0" applyNumberFormat="1" applyFont="1" applyFill="1" applyBorder="1" applyAlignment="1">
      <alignment vertical="top" wrapText="1"/>
    </xf>
    <xf numFmtId="0" fontId="10" fillId="8" borderId="3" xfId="0" applyFont="1" applyFill="1" applyBorder="1" applyAlignment="1">
      <alignment vertical="top" wrapText="1"/>
    </xf>
    <xf numFmtId="0" fontId="10" fillId="7" borderId="3" xfId="11" applyNumberFormat="1" applyFont="1" applyFill="1" applyBorder="1" applyAlignment="1">
      <alignment vertical="top" wrapText="1"/>
    </xf>
    <xf numFmtId="0" fontId="10" fillId="7" borderId="3" xfId="0" applyNumberFormat="1" applyFont="1" applyFill="1" applyBorder="1" applyAlignment="1">
      <alignment vertical="top" wrapText="1"/>
    </xf>
    <xf numFmtId="49" fontId="10" fillId="8" borderId="3" xfId="11" applyNumberFormat="1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16" borderId="3" xfId="18" applyFont="1" applyFill="1" applyBorder="1" applyAlignment="1">
      <alignment vertical="top" wrapText="1"/>
    </xf>
    <xf numFmtId="4" fontId="10" fillId="7" borderId="3" xfId="23" applyNumberFormat="1" applyFont="1" applyFill="1" applyBorder="1" applyAlignment="1" applyProtection="1">
      <alignment vertical="top" wrapText="1"/>
    </xf>
    <xf numFmtId="49" fontId="10" fillId="7" borderId="3" xfId="20" applyNumberFormat="1" applyFont="1" applyFill="1" applyBorder="1" applyAlignment="1">
      <alignment vertical="top" wrapText="1"/>
    </xf>
    <xf numFmtId="4" fontId="10" fillId="7" borderId="3" xfId="22" applyNumberFormat="1" applyFont="1" applyFill="1" applyBorder="1" applyAlignment="1">
      <alignment vertical="top" wrapText="1"/>
    </xf>
    <xf numFmtId="0" fontId="9" fillId="7" borderId="3" xfId="0" applyFont="1" applyFill="1" applyBorder="1" applyAlignment="1">
      <alignment vertical="top" wrapText="1"/>
    </xf>
    <xf numFmtId="4" fontId="10" fillId="7" borderId="3" xfId="21" applyNumberFormat="1" applyFont="1" applyFill="1" applyBorder="1" applyAlignment="1">
      <alignment vertical="top" wrapText="1"/>
    </xf>
    <xf numFmtId="164" fontId="10" fillId="7" borderId="3" xfId="0" applyNumberFormat="1" applyFont="1" applyFill="1" applyBorder="1" applyAlignment="1">
      <alignment vertical="top" wrapText="1"/>
    </xf>
    <xf numFmtId="4" fontId="10" fillId="7" borderId="3" xfId="6" applyNumberFormat="1" applyFont="1" applyFill="1" applyBorder="1" applyAlignment="1">
      <alignment horizontal="left" vertical="top" wrapText="1"/>
    </xf>
    <xf numFmtId="4" fontId="10" fillId="7" borderId="3" xfId="20" applyNumberFormat="1" applyFont="1" applyFill="1" applyBorder="1" applyAlignment="1">
      <alignment horizontal="left" vertical="top" wrapText="1"/>
    </xf>
    <xf numFmtId="4" fontId="10" fillId="7" borderId="3" xfId="11" applyNumberFormat="1" applyFont="1" applyFill="1" applyBorder="1" applyAlignment="1">
      <alignment horizontal="left" vertical="top" wrapText="1"/>
    </xf>
    <xf numFmtId="0" fontId="10" fillId="7" borderId="3" xfId="0" applyFont="1" applyFill="1" applyBorder="1" applyAlignment="1">
      <alignment horizontal="left" vertical="top" wrapText="1"/>
    </xf>
    <xf numFmtId="4" fontId="10" fillId="7" borderId="3" xfId="6" applyNumberFormat="1" applyFont="1" applyFill="1" applyBorder="1" applyAlignment="1">
      <alignment horizontal="left" vertical="top"/>
    </xf>
    <xf numFmtId="4" fontId="11" fillId="3" borderId="3" xfId="0" applyNumberFormat="1" applyFont="1" applyFill="1" applyBorder="1" applyAlignment="1">
      <alignment horizontal="center" vertical="center"/>
    </xf>
    <xf numFmtId="49" fontId="10" fillId="0" borderId="3" xfId="19" applyNumberFormat="1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49" fontId="10" fillId="0" borderId="8" xfId="19" applyNumberFormat="1" applyFont="1" applyFill="1" applyBorder="1" applyAlignment="1">
      <alignment horizontal="center" vertical="top" wrapText="1"/>
    </xf>
    <xf numFmtId="49" fontId="10" fillId="0" borderId="9" xfId="19" applyNumberFormat="1" applyFont="1" applyFill="1" applyBorder="1" applyAlignment="1">
      <alignment horizontal="center" vertical="top" wrapText="1"/>
    </xf>
    <xf numFmtId="49" fontId="10" fillId="0" borderId="10" xfId="19" applyNumberFormat="1" applyFont="1" applyFill="1" applyBorder="1" applyAlignment="1">
      <alignment horizontal="center" vertical="top" wrapText="1"/>
    </xf>
    <xf numFmtId="49" fontId="10" fillId="0" borderId="11" xfId="19" applyNumberFormat="1" applyFont="1" applyFill="1" applyBorder="1" applyAlignment="1">
      <alignment horizontal="center" vertical="top" wrapText="1"/>
    </xf>
    <xf numFmtId="49" fontId="10" fillId="0" borderId="0" xfId="19" applyNumberFormat="1" applyFont="1" applyFill="1" applyBorder="1" applyAlignment="1">
      <alignment horizontal="center" vertical="top" wrapText="1"/>
    </xf>
    <xf numFmtId="49" fontId="10" fillId="0" borderId="12" xfId="19" applyNumberFormat="1" applyFont="1" applyFill="1" applyBorder="1" applyAlignment="1">
      <alignment horizontal="center" vertical="top" wrapText="1"/>
    </xf>
    <xf numFmtId="49" fontId="10" fillId="0" borderId="1" xfId="19" applyNumberFormat="1" applyFont="1" applyFill="1" applyBorder="1" applyAlignment="1">
      <alignment horizontal="center" vertical="top" wrapText="1"/>
    </xf>
    <xf numFmtId="49" fontId="10" fillId="0" borderId="2" xfId="19" applyNumberFormat="1" applyFont="1" applyFill="1" applyBorder="1" applyAlignment="1">
      <alignment horizontal="center" vertical="top" wrapText="1"/>
    </xf>
    <xf numFmtId="49" fontId="10" fillId="0" borderId="16" xfId="19" applyNumberFormat="1" applyFont="1" applyFill="1" applyBorder="1" applyAlignment="1">
      <alignment horizontal="center" vertical="top" wrapText="1"/>
    </xf>
    <xf numFmtId="4" fontId="10" fillId="8" borderId="3" xfId="19" applyNumberFormat="1" applyFont="1" applyFill="1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vertical="top" wrapText="1"/>
    </xf>
    <xf numFmtId="0" fontId="10" fillId="0" borderId="3" xfId="4" applyFont="1" applyBorder="1" applyAlignment="1">
      <alignment vertical="top" wrapText="1"/>
    </xf>
    <xf numFmtId="0" fontId="34" fillId="0" borderId="3" xfId="4" applyFont="1" applyBorder="1" applyAlignment="1">
      <alignment vertical="top" wrapText="1"/>
    </xf>
    <xf numFmtId="0" fontId="9" fillId="0" borderId="3" xfId="4" applyFont="1" applyFill="1" applyBorder="1" applyAlignment="1">
      <alignment vertical="top" wrapText="1"/>
    </xf>
    <xf numFmtId="0" fontId="9" fillId="10" borderId="4" xfId="4" applyFont="1" applyFill="1" applyBorder="1" applyAlignment="1">
      <alignment horizontal="center" vertical="top" wrapText="1"/>
    </xf>
    <xf numFmtId="0" fontId="9" fillId="10" borderId="6" xfId="4" applyFont="1" applyFill="1" applyBorder="1" applyAlignment="1">
      <alignment horizontal="center" vertical="top" wrapText="1"/>
    </xf>
    <xf numFmtId="0" fontId="9" fillId="10" borderId="5" xfId="4" applyFont="1" applyFill="1" applyBorder="1" applyAlignment="1">
      <alignment horizontal="center" vertical="top" wrapText="1"/>
    </xf>
    <xf numFmtId="0" fontId="9" fillId="10" borderId="4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164" fontId="9" fillId="14" borderId="4" xfId="0" applyNumberFormat="1" applyFont="1" applyFill="1" applyBorder="1" applyAlignment="1">
      <alignment horizontal="center" vertical="top" wrapText="1"/>
    </xf>
    <xf numFmtId="164" fontId="9" fillId="14" borderId="6" xfId="0" applyNumberFormat="1" applyFont="1" applyFill="1" applyBorder="1" applyAlignment="1">
      <alignment horizontal="center" vertical="top" wrapText="1"/>
    </xf>
    <xf numFmtId="164" fontId="9" fillId="14" borderId="5" xfId="0" applyNumberFormat="1" applyFont="1" applyFill="1" applyBorder="1" applyAlignment="1">
      <alignment horizontal="center" vertical="top" wrapText="1"/>
    </xf>
    <xf numFmtId="0" fontId="21" fillId="7" borderId="20" xfId="12" applyNumberFormat="1" applyFont="1" applyFill="1" applyBorder="1" applyAlignment="1" applyProtection="1">
      <alignment horizontal="left" vertical="top" wrapText="1"/>
    </xf>
    <xf numFmtId="0" fontId="21" fillId="7" borderId="21" xfId="12" applyNumberFormat="1" applyFont="1" applyFill="1" applyBorder="1" applyAlignment="1" applyProtection="1">
      <alignment horizontal="left" vertical="top" wrapText="1"/>
    </xf>
    <xf numFmtId="49" fontId="9" fillId="7" borderId="3" xfId="0" applyNumberFormat="1" applyFont="1" applyFill="1" applyBorder="1" applyAlignment="1">
      <alignment horizontal="center" vertical="top" wrapText="1"/>
    </xf>
    <xf numFmtId="0" fontId="10" fillId="8" borderId="7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0" fontId="9" fillId="8" borderId="8" xfId="0" applyFont="1" applyFill="1" applyBorder="1" applyAlignment="1">
      <alignment horizontal="center" vertical="top" wrapText="1"/>
    </xf>
    <xf numFmtId="0" fontId="9" fillId="8" borderId="9" xfId="0" applyFont="1" applyFill="1" applyBorder="1" applyAlignment="1">
      <alignment horizontal="center" vertical="top" wrapText="1"/>
    </xf>
    <xf numFmtId="0" fontId="9" fillId="8" borderId="10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9" fillId="8" borderId="2" xfId="0" applyFont="1" applyFill="1" applyBorder="1" applyAlignment="1">
      <alignment horizontal="center" vertical="top" wrapText="1"/>
    </xf>
    <xf numFmtId="0" fontId="9" fillId="8" borderId="1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top" wrapText="1"/>
    </xf>
    <xf numFmtId="164" fontId="10" fillId="8" borderId="7" xfId="0" applyNumberFormat="1" applyFont="1" applyFill="1" applyBorder="1" applyAlignment="1">
      <alignment horizontal="left" vertical="top" wrapText="1"/>
    </xf>
    <xf numFmtId="164" fontId="10" fillId="8" borderId="13" xfId="0" applyNumberFormat="1" applyFont="1" applyFill="1" applyBorder="1" applyAlignment="1">
      <alignment horizontal="left" vertical="top" wrapText="1"/>
    </xf>
    <xf numFmtId="164" fontId="10" fillId="8" borderId="14" xfId="0" applyNumberFormat="1" applyFont="1" applyFill="1" applyBorder="1" applyAlignment="1">
      <alignment horizontal="left" vertical="top" wrapText="1"/>
    </xf>
    <xf numFmtId="0" fontId="10" fillId="8" borderId="8" xfId="0" applyFont="1" applyFill="1" applyBorder="1" applyAlignment="1">
      <alignment horizontal="center" vertical="top" wrapText="1"/>
    </xf>
    <xf numFmtId="0" fontId="10" fillId="8" borderId="9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8" borderId="11" xfId="0" applyFont="1" applyFill="1" applyBorder="1" applyAlignment="1">
      <alignment horizontal="center" vertical="top" wrapText="1"/>
    </xf>
    <xf numFmtId="0" fontId="10" fillId="8" borderId="0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2" xfId="0" applyFont="1" applyFill="1" applyBorder="1" applyAlignment="1">
      <alignment horizontal="center" vertical="top" wrapText="1"/>
    </xf>
    <xf numFmtId="0" fontId="10" fillId="8" borderId="16" xfId="0" applyFont="1" applyFill="1" applyBorder="1" applyAlignment="1">
      <alignment horizontal="center" vertical="top" wrapText="1"/>
    </xf>
    <xf numFmtId="0" fontId="10" fillId="8" borderId="13" xfId="0" applyFont="1" applyFill="1" applyBorder="1" applyAlignment="1">
      <alignment horizontal="left" vertical="top" wrapText="1"/>
    </xf>
    <xf numFmtId="49" fontId="9" fillId="8" borderId="3" xfId="0" applyNumberFormat="1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14" borderId="3" xfId="0" applyFont="1" applyFill="1" applyBorder="1" applyAlignment="1">
      <alignment horizontal="center" vertical="top"/>
    </xf>
    <xf numFmtId="0" fontId="10" fillId="8" borderId="3" xfId="13" applyFont="1" applyFill="1" applyBorder="1" applyAlignment="1">
      <alignment horizontal="left" vertical="top" wrapText="1"/>
    </xf>
    <xf numFmtId="49" fontId="9" fillId="8" borderId="3" xfId="13" applyNumberFormat="1" applyFont="1" applyFill="1" applyBorder="1" applyAlignment="1">
      <alignment horizontal="center" vertical="top" wrapText="1"/>
    </xf>
    <xf numFmtId="0" fontId="9" fillId="8" borderId="3" xfId="13" applyFont="1" applyFill="1" applyBorder="1" applyAlignment="1">
      <alignment horizontal="center" vertical="top" wrapText="1"/>
    </xf>
    <xf numFmtId="4" fontId="10" fillId="8" borderId="3" xfId="13" applyNumberFormat="1" applyFont="1" applyFill="1" applyBorder="1" applyAlignment="1">
      <alignment horizontal="center" vertical="center" textRotation="90" wrapText="1"/>
    </xf>
    <xf numFmtId="0" fontId="10" fillId="8" borderId="3" xfId="13" applyFont="1" applyFill="1" applyBorder="1" applyAlignment="1">
      <alignment vertical="top" wrapText="1"/>
    </xf>
    <xf numFmtId="3" fontId="9" fillId="8" borderId="3" xfId="13" applyNumberFormat="1" applyFont="1" applyFill="1" applyBorder="1" applyAlignment="1">
      <alignment horizontal="center" vertical="top" wrapText="1"/>
    </xf>
    <xf numFmtId="0" fontId="10" fillId="8" borderId="3" xfId="13" applyFont="1" applyFill="1" applyBorder="1" applyAlignment="1">
      <alignment horizontal="center" vertical="top" wrapText="1"/>
    </xf>
    <xf numFmtId="4" fontId="9" fillId="8" borderId="3" xfId="13" applyNumberFormat="1" applyFont="1" applyFill="1" applyBorder="1" applyAlignment="1">
      <alignment horizontal="center" vertical="top" wrapText="1"/>
    </xf>
    <xf numFmtId="0" fontId="10" fillId="0" borderId="3" xfId="13" applyFont="1" applyBorder="1" applyAlignment="1">
      <alignment horizontal="center" vertical="top" wrapText="1"/>
    </xf>
    <xf numFmtId="0" fontId="9" fillId="0" borderId="3" xfId="13" applyFont="1" applyBorder="1" applyAlignment="1">
      <alignment horizontal="left" vertical="top" wrapText="1"/>
    </xf>
    <xf numFmtId="4" fontId="9" fillId="8" borderId="3" xfId="1" applyNumberFormat="1" applyFont="1" applyFill="1" applyBorder="1" applyAlignment="1">
      <alignment horizontal="center" vertical="top" wrapText="1"/>
    </xf>
    <xf numFmtId="164" fontId="9" fillId="8" borderId="3" xfId="14" applyNumberFormat="1" applyFont="1" applyFill="1" applyBorder="1" applyAlignment="1">
      <alignment horizontal="center" vertical="top" wrapText="1"/>
    </xf>
    <xf numFmtId="0" fontId="9" fillId="0" borderId="3" xfId="13" applyFont="1" applyBorder="1" applyAlignment="1">
      <alignment horizontal="center" vertical="top" wrapText="1"/>
    </xf>
    <xf numFmtId="0" fontId="6" fillId="0" borderId="3" xfId="13" applyFont="1" applyBorder="1" applyAlignment="1">
      <alignment horizontal="center" vertical="top" wrapText="1"/>
    </xf>
    <xf numFmtId="0" fontId="9" fillId="0" borderId="3" xfId="13" applyFont="1" applyFill="1" applyBorder="1" applyAlignment="1">
      <alignment vertical="top" wrapText="1"/>
    </xf>
    <xf numFmtId="164" fontId="9" fillId="8" borderId="3" xfId="15" applyNumberFormat="1" applyFont="1" applyFill="1" applyBorder="1" applyAlignment="1">
      <alignment horizontal="center" vertical="top" wrapText="1"/>
    </xf>
    <xf numFmtId="0" fontId="10" fillId="0" borderId="3" xfId="13" applyFont="1" applyBorder="1" applyAlignment="1">
      <alignment vertical="top" wrapText="1"/>
    </xf>
    <xf numFmtId="0" fontId="9" fillId="0" borderId="3" xfId="13" applyFont="1" applyFill="1" applyBorder="1" applyAlignment="1">
      <alignment horizontal="left" vertical="top" wrapText="1"/>
    </xf>
    <xf numFmtId="4" fontId="9" fillId="0" borderId="3" xfId="13" applyNumberFormat="1" applyFont="1" applyFill="1" applyBorder="1" applyAlignment="1">
      <alignment horizontal="center" vertical="top" wrapText="1"/>
    </xf>
    <xf numFmtId="164" fontId="9" fillId="0" borderId="3" xfId="13" applyNumberFormat="1" applyFont="1" applyFill="1" applyBorder="1" applyAlignment="1">
      <alignment horizontal="center" vertical="top" wrapText="1"/>
    </xf>
    <xf numFmtId="0" fontId="9" fillId="8" borderId="7" xfId="13" applyFont="1" applyFill="1" applyBorder="1" applyAlignment="1">
      <alignment horizontal="left" vertical="top" wrapText="1"/>
    </xf>
    <xf numFmtId="0" fontId="9" fillId="8" borderId="14" xfId="13" applyFont="1" applyFill="1" applyBorder="1" applyAlignment="1">
      <alignment horizontal="left" vertical="top" wrapText="1"/>
    </xf>
    <xf numFmtId="49" fontId="6" fillId="8" borderId="3" xfId="13" applyNumberFormat="1" applyFont="1" applyFill="1" applyBorder="1" applyAlignment="1">
      <alignment horizontal="center" vertical="top" wrapText="1"/>
    </xf>
    <xf numFmtId="4" fontId="9" fillId="0" borderId="3" xfId="13" applyNumberFormat="1" applyFont="1" applyBorder="1" applyAlignment="1">
      <alignment horizontal="center" vertical="top" wrapText="1"/>
    </xf>
    <xf numFmtId="164" fontId="9" fillId="8" borderId="3" xfId="13" applyNumberFormat="1" applyFont="1" applyFill="1" applyBorder="1" applyAlignment="1">
      <alignment horizontal="center" vertical="top" wrapText="1"/>
    </xf>
    <xf numFmtId="0" fontId="11" fillId="11" borderId="7" xfId="0" applyFont="1" applyFill="1" applyBorder="1" applyAlignment="1">
      <alignment horizontal="left" vertical="top" wrapText="1"/>
    </xf>
    <xf numFmtId="0" fontId="11" fillId="11" borderId="14" xfId="0" applyFont="1" applyFill="1" applyBorder="1" applyAlignment="1">
      <alignment horizontal="left" vertical="top" wrapText="1"/>
    </xf>
    <xf numFmtId="0" fontId="10" fillId="8" borderId="7" xfId="13" applyFont="1" applyFill="1" applyBorder="1" applyAlignment="1">
      <alignment horizontal="center" vertical="center" textRotation="90" wrapText="1"/>
    </xf>
    <xf numFmtId="0" fontId="10" fillId="8" borderId="14" xfId="13" applyFont="1" applyFill="1" applyBorder="1" applyAlignment="1">
      <alignment horizontal="center" vertical="center" textRotation="90" wrapText="1"/>
    </xf>
    <xf numFmtId="4" fontId="11" fillId="3" borderId="7" xfId="0" applyNumberFormat="1" applyFont="1" applyFill="1" applyBorder="1" applyAlignment="1">
      <alignment horizontal="center" vertical="center"/>
    </xf>
    <xf numFmtId="4" fontId="11" fillId="3" borderId="14" xfId="0" applyNumberFormat="1" applyFont="1" applyFill="1" applyBorder="1" applyAlignment="1">
      <alignment horizontal="center" vertical="center"/>
    </xf>
    <xf numFmtId="0" fontId="10" fillId="0" borderId="7" xfId="13" applyFont="1" applyFill="1" applyBorder="1" applyAlignment="1">
      <alignment horizontal="left" vertical="top" wrapText="1"/>
    </xf>
    <xf numFmtId="0" fontId="10" fillId="0" borderId="13" xfId="13" applyFont="1" applyFill="1" applyBorder="1" applyAlignment="1">
      <alignment horizontal="left" vertical="top" wrapText="1"/>
    </xf>
    <xf numFmtId="0" fontId="10" fillId="0" borderId="14" xfId="13" applyFont="1" applyFill="1" applyBorder="1" applyAlignment="1">
      <alignment horizontal="left" vertical="top" wrapText="1"/>
    </xf>
    <xf numFmtId="43" fontId="10" fillId="8" borderId="8" xfId="13" applyNumberFormat="1" applyFont="1" applyFill="1" applyBorder="1" applyAlignment="1">
      <alignment horizontal="center" vertical="top" wrapText="1"/>
    </xf>
    <xf numFmtId="43" fontId="10" fillId="8" borderId="9" xfId="13" applyNumberFormat="1" applyFont="1" applyFill="1" applyBorder="1" applyAlignment="1">
      <alignment horizontal="center" vertical="top" wrapText="1"/>
    </xf>
    <xf numFmtId="43" fontId="10" fillId="8" borderId="10" xfId="13" applyNumberFormat="1" applyFont="1" applyFill="1" applyBorder="1" applyAlignment="1">
      <alignment horizontal="center" vertical="top" wrapText="1"/>
    </xf>
    <xf numFmtId="43" fontId="10" fillId="8" borderId="11" xfId="13" applyNumberFormat="1" applyFont="1" applyFill="1" applyBorder="1" applyAlignment="1">
      <alignment horizontal="center" vertical="top" wrapText="1"/>
    </xf>
    <xf numFmtId="43" fontId="10" fillId="8" borderId="0" xfId="13" applyNumberFormat="1" applyFont="1" applyFill="1" applyBorder="1" applyAlignment="1">
      <alignment horizontal="center" vertical="top" wrapText="1"/>
    </xf>
    <xf numFmtId="43" fontId="10" fillId="8" borderId="12" xfId="13" applyNumberFormat="1" applyFont="1" applyFill="1" applyBorder="1" applyAlignment="1">
      <alignment horizontal="center" vertical="top" wrapText="1"/>
    </xf>
    <xf numFmtId="43" fontId="10" fillId="8" borderId="1" xfId="13" applyNumberFormat="1" applyFont="1" applyFill="1" applyBorder="1" applyAlignment="1">
      <alignment horizontal="center" vertical="top" wrapText="1"/>
    </xf>
    <xf numFmtId="43" fontId="10" fillId="8" borderId="2" xfId="13" applyNumberFormat="1" applyFont="1" applyFill="1" applyBorder="1" applyAlignment="1">
      <alignment horizontal="center" vertical="top" wrapText="1"/>
    </xf>
    <xf numFmtId="43" fontId="10" fillId="8" borderId="16" xfId="13" applyNumberFormat="1" applyFont="1" applyFill="1" applyBorder="1" applyAlignment="1">
      <alignment horizontal="center" vertical="top" wrapText="1"/>
    </xf>
    <xf numFmtId="0" fontId="9" fillId="8" borderId="3" xfId="13" applyFont="1" applyFill="1" applyBorder="1" applyAlignment="1">
      <alignment horizontal="left" vertical="top" wrapText="1"/>
    </xf>
    <xf numFmtId="0" fontId="20" fillId="3" borderId="8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0" fontId="20" fillId="3" borderId="11" xfId="0" applyFont="1" applyFill="1" applyBorder="1" applyAlignment="1">
      <alignment horizontal="center" vertical="top" wrapText="1"/>
    </xf>
    <xf numFmtId="0" fontId="20" fillId="3" borderId="0" xfId="0" applyFont="1" applyFill="1" applyBorder="1" applyAlignment="1">
      <alignment horizontal="center" vertical="top" wrapText="1"/>
    </xf>
    <xf numFmtId="0" fontId="20" fillId="3" borderId="12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horizontal="center" vertical="top" wrapText="1"/>
    </xf>
    <xf numFmtId="0" fontId="20" fillId="3" borderId="16" xfId="0" applyFont="1" applyFill="1" applyBorder="1" applyAlignment="1">
      <alignment horizontal="center" vertical="top" wrapText="1"/>
    </xf>
    <xf numFmtId="0" fontId="10" fillId="3" borderId="7" xfId="4" applyFont="1" applyFill="1" applyBorder="1" applyAlignment="1">
      <alignment horizontal="left" vertical="top" wrapText="1"/>
    </xf>
    <xf numFmtId="0" fontId="10" fillId="3" borderId="13" xfId="4" applyFont="1" applyFill="1" applyBorder="1" applyAlignment="1">
      <alignment horizontal="left" vertical="top" wrapText="1"/>
    </xf>
    <xf numFmtId="0" fontId="10" fillId="3" borderId="14" xfId="4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9" fillId="3" borderId="13" xfId="0" applyFont="1" applyFill="1" applyBorder="1" applyAlignment="1">
      <alignment horizontal="center" vertical="center" textRotation="90" wrapText="1"/>
    </xf>
    <xf numFmtId="0" fontId="9" fillId="3" borderId="14" xfId="0" applyFont="1" applyFill="1" applyBorder="1" applyAlignment="1">
      <alignment horizontal="center" vertical="center" textRotation="90" wrapText="1"/>
    </xf>
    <xf numFmtId="0" fontId="6" fillId="9" borderId="3" xfId="0" applyFont="1" applyFill="1" applyBorder="1" applyAlignment="1">
      <alignment horizontal="center" vertical="top" wrapText="1"/>
    </xf>
    <xf numFmtId="0" fontId="9" fillId="10" borderId="4" xfId="13" applyFont="1" applyFill="1" applyBorder="1" applyAlignment="1">
      <alignment horizontal="center" vertical="center" wrapText="1"/>
    </xf>
    <xf numFmtId="0" fontId="9" fillId="10" borderId="6" xfId="13" applyFont="1" applyFill="1" applyBorder="1" applyAlignment="1">
      <alignment horizontal="center" vertical="center" wrapText="1"/>
    </xf>
    <xf numFmtId="49" fontId="6" fillId="3" borderId="8" xfId="4" applyNumberFormat="1" applyFont="1" applyFill="1" applyBorder="1" applyAlignment="1">
      <alignment horizontal="center" vertical="center" wrapText="1"/>
    </xf>
    <xf numFmtId="49" fontId="6" fillId="3" borderId="9" xfId="4" applyNumberFormat="1" applyFont="1" applyFill="1" applyBorder="1" applyAlignment="1">
      <alignment horizontal="center" vertical="center" wrapText="1"/>
    </xf>
    <xf numFmtId="49" fontId="6" fillId="3" borderId="10" xfId="4" applyNumberFormat="1" applyFont="1" applyFill="1" applyBorder="1" applyAlignment="1">
      <alignment horizontal="center" vertical="center" wrapText="1"/>
    </xf>
    <xf numFmtId="49" fontId="6" fillId="3" borderId="11" xfId="4" applyNumberFormat="1" applyFont="1" applyFill="1" applyBorder="1" applyAlignment="1">
      <alignment horizontal="center" vertical="center" wrapText="1"/>
    </xf>
    <xf numFmtId="49" fontId="6" fillId="3" borderId="0" xfId="4" applyNumberFormat="1" applyFont="1" applyFill="1" applyBorder="1" applyAlignment="1">
      <alignment horizontal="center" vertical="center" wrapText="1"/>
    </xf>
    <xf numFmtId="49" fontId="6" fillId="3" borderId="12" xfId="4" applyNumberFormat="1" applyFont="1" applyFill="1" applyBorder="1" applyAlignment="1">
      <alignment horizontal="center" vertical="center" wrapText="1"/>
    </xf>
    <xf numFmtId="49" fontId="6" fillId="3" borderId="1" xfId="4" applyNumberFormat="1" applyFont="1" applyFill="1" applyBorder="1" applyAlignment="1">
      <alignment horizontal="center" vertical="center" wrapText="1"/>
    </xf>
    <xf numFmtId="49" fontId="6" fillId="3" borderId="2" xfId="4" applyNumberFormat="1" applyFont="1" applyFill="1" applyBorder="1" applyAlignment="1">
      <alignment horizontal="center" vertical="center" wrapText="1"/>
    </xf>
    <xf numFmtId="49" fontId="6" fillId="3" borderId="16" xfId="4" applyNumberFormat="1" applyFont="1" applyFill="1" applyBorder="1" applyAlignment="1">
      <alignment horizontal="center" vertical="center" wrapText="1"/>
    </xf>
    <xf numFmtId="2" fontId="10" fillId="3" borderId="7" xfId="9" applyNumberFormat="1" applyFont="1" applyFill="1" applyBorder="1" applyAlignment="1">
      <alignment horizontal="center" vertical="center" wrapText="1"/>
    </xf>
    <xf numFmtId="2" fontId="10" fillId="3" borderId="13" xfId="9" applyNumberFormat="1" applyFont="1" applyFill="1" applyBorder="1" applyAlignment="1">
      <alignment horizontal="center" vertical="center" wrapText="1"/>
    </xf>
    <xf numFmtId="2" fontId="10" fillId="3" borderId="14" xfId="9" applyNumberFormat="1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top" wrapText="1"/>
    </xf>
    <xf numFmtId="4" fontId="9" fillId="7" borderId="3" xfId="4" applyNumberFormat="1" applyFont="1" applyFill="1" applyBorder="1" applyAlignment="1">
      <alignment horizontal="center" vertical="center"/>
    </xf>
    <xf numFmtId="2" fontId="11" fillId="8" borderId="7" xfId="1" applyNumberFormat="1" applyFont="1" applyFill="1" applyBorder="1" applyAlignment="1">
      <alignment horizontal="left" vertical="top" wrapText="1"/>
    </xf>
    <xf numFmtId="2" fontId="11" fillId="8" borderId="13" xfId="1" applyNumberFormat="1" applyFont="1" applyFill="1" applyBorder="1" applyAlignment="1">
      <alignment horizontal="left" vertical="top" wrapText="1"/>
    </xf>
    <xf numFmtId="2" fontId="11" fillId="8" borderId="14" xfId="1" applyNumberFormat="1" applyFont="1" applyFill="1" applyBorder="1" applyAlignment="1">
      <alignment horizontal="left" vertical="top" wrapText="1"/>
    </xf>
    <xf numFmtId="164" fontId="9" fillId="7" borderId="3" xfId="4" applyNumberFormat="1" applyFont="1" applyFill="1" applyBorder="1" applyAlignment="1">
      <alignment horizontal="center" vertical="center"/>
    </xf>
    <xf numFmtId="2" fontId="10" fillId="7" borderId="7" xfId="4" applyNumberFormat="1" applyFont="1" applyFill="1" applyBorder="1" applyAlignment="1">
      <alignment horizontal="center" vertical="center" wrapText="1"/>
    </xf>
    <xf numFmtId="2" fontId="10" fillId="7" borderId="14" xfId="4" applyNumberFormat="1" applyFont="1" applyFill="1" applyBorder="1" applyAlignment="1">
      <alignment horizontal="center" vertical="center" wrapText="1"/>
    </xf>
    <xf numFmtId="0" fontId="10" fillId="7" borderId="3" xfId="4" applyFont="1" applyFill="1" applyBorder="1" applyAlignment="1">
      <alignment horizontal="center" vertical="center" textRotation="90"/>
    </xf>
    <xf numFmtId="49" fontId="6" fillId="7" borderId="3" xfId="4" applyNumberFormat="1" applyFont="1" applyFill="1" applyBorder="1" applyAlignment="1">
      <alignment horizontal="center" vertical="center" wrapText="1"/>
    </xf>
    <xf numFmtId="0" fontId="9" fillId="7" borderId="7" xfId="4" applyFont="1" applyFill="1" applyBorder="1" applyAlignment="1">
      <alignment vertical="top" wrapText="1"/>
    </xf>
    <xf numFmtId="0" fontId="9" fillId="7" borderId="14" xfId="4" applyFont="1" applyFill="1" applyBorder="1" applyAlignment="1">
      <alignment vertical="top" wrapText="1"/>
    </xf>
    <xf numFmtId="4" fontId="9" fillId="7" borderId="3" xfId="4" applyNumberFormat="1" applyFont="1" applyFill="1" applyBorder="1" applyAlignment="1">
      <alignment horizontal="center" vertical="center" wrapText="1"/>
    </xf>
    <xf numFmtId="0" fontId="10" fillId="7" borderId="3" xfId="4" applyFont="1" applyFill="1" applyBorder="1" applyAlignment="1">
      <alignment horizontal="center" vertical="center" wrapText="1"/>
    </xf>
    <xf numFmtId="0" fontId="10" fillId="8" borderId="3" xfId="4" applyFont="1" applyFill="1" applyBorder="1" applyAlignment="1">
      <alignment horizontal="center" vertical="top" wrapText="1"/>
    </xf>
    <xf numFmtId="0" fontId="10" fillId="0" borderId="3" xfId="4" applyFont="1" applyFill="1" applyBorder="1" applyAlignment="1">
      <alignment horizontal="left" vertical="top" wrapText="1"/>
    </xf>
    <xf numFmtId="0" fontId="6" fillId="8" borderId="3" xfId="4" applyFont="1" applyFill="1" applyBorder="1" applyAlignment="1">
      <alignment horizontal="center" vertical="top" wrapText="1"/>
    </xf>
    <xf numFmtId="0" fontId="9" fillId="8" borderId="3" xfId="4" applyFont="1" applyFill="1" applyBorder="1" applyAlignment="1">
      <alignment horizontal="left" vertical="top" wrapText="1"/>
    </xf>
    <xf numFmtId="4" fontId="9" fillId="8" borderId="3" xfId="4" applyNumberFormat="1" applyFont="1" applyFill="1" applyBorder="1" applyAlignment="1">
      <alignment horizontal="center" vertical="top" wrapText="1"/>
    </xf>
    <xf numFmtId="0" fontId="10" fillId="8" borderId="3" xfId="4" applyFont="1" applyFill="1" applyBorder="1" applyAlignment="1">
      <alignment horizontal="left" vertical="top" wrapText="1"/>
    </xf>
    <xf numFmtId="0" fontId="13" fillId="8" borderId="3" xfId="0" applyFont="1" applyFill="1" applyBorder="1" applyAlignment="1">
      <alignment horizontal="left" vertical="top" wrapText="1"/>
    </xf>
    <xf numFmtId="168" fontId="9" fillId="8" borderId="3" xfId="1" applyNumberFormat="1" applyFont="1" applyFill="1" applyBorder="1" applyAlignment="1">
      <alignment horizontal="center" vertical="top" wrapText="1"/>
    </xf>
    <xf numFmtId="4" fontId="13" fillId="8" borderId="3" xfId="0" applyNumberFormat="1" applyFont="1" applyFill="1" applyBorder="1" applyAlignment="1">
      <alignment horizontal="center" vertical="top" wrapText="1"/>
    </xf>
    <xf numFmtId="0" fontId="13" fillId="8" borderId="3" xfId="0" applyFont="1" applyFill="1" applyBorder="1" applyAlignment="1">
      <alignment vertical="top" wrapText="1"/>
    </xf>
    <xf numFmtId="4" fontId="11" fillId="8" borderId="3" xfId="0" applyNumberFormat="1" applyFont="1" applyFill="1" applyBorder="1" applyAlignment="1">
      <alignment horizontal="center" vertical="top" wrapText="1"/>
    </xf>
    <xf numFmtId="166" fontId="9" fillId="8" borderId="3" xfId="1" applyFont="1" applyFill="1" applyBorder="1" applyAlignment="1">
      <alignment horizontal="center" vertical="top" wrapText="1"/>
    </xf>
    <xf numFmtId="0" fontId="9" fillId="8" borderId="3" xfId="4" applyFont="1" applyFill="1" applyBorder="1" applyAlignment="1">
      <alignment horizontal="center" vertical="top" wrapText="1"/>
    </xf>
    <xf numFmtId="167" fontId="10" fillId="8" borderId="3" xfId="4" applyNumberFormat="1" applyFont="1" applyFill="1" applyBorder="1" applyAlignment="1">
      <alignment horizontal="center" vertical="top" wrapText="1"/>
    </xf>
    <xf numFmtId="4" fontId="10" fillId="3" borderId="3" xfId="1" applyNumberFormat="1" applyFont="1" applyFill="1" applyBorder="1" applyAlignment="1">
      <alignment horizontal="center" vertical="center" wrapText="1"/>
    </xf>
    <xf numFmtId="166" fontId="10" fillId="8" borderId="3" xfId="1" applyFont="1" applyFill="1" applyBorder="1" applyAlignment="1">
      <alignment horizontal="center" vertical="center" wrapText="1"/>
    </xf>
    <xf numFmtId="0" fontId="10" fillId="8" borderId="3" xfId="4" applyFont="1" applyFill="1" applyBorder="1" applyAlignment="1">
      <alignment horizontal="center" vertical="center" wrapText="1"/>
    </xf>
    <xf numFmtId="0" fontId="10" fillId="8" borderId="8" xfId="4" applyFont="1" applyFill="1" applyBorder="1" applyAlignment="1">
      <alignment horizontal="center" vertical="top" wrapText="1"/>
    </xf>
    <xf numFmtId="0" fontId="10" fillId="8" borderId="9" xfId="4" applyFont="1" applyFill="1" applyBorder="1" applyAlignment="1">
      <alignment horizontal="center" vertical="top" wrapText="1"/>
    </xf>
    <xf numFmtId="0" fontId="10" fillId="8" borderId="10" xfId="4" applyFont="1" applyFill="1" applyBorder="1" applyAlignment="1">
      <alignment horizontal="center" vertical="top" wrapText="1"/>
    </xf>
    <xf numFmtId="0" fontId="10" fillId="8" borderId="11" xfId="4" applyFont="1" applyFill="1" applyBorder="1" applyAlignment="1">
      <alignment horizontal="center" vertical="top" wrapText="1"/>
    </xf>
    <xf numFmtId="0" fontId="10" fillId="8" borderId="0" xfId="4" applyFont="1" applyFill="1" applyBorder="1" applyAlignment="1">
      <alignment horizontal="center" vertical="top" wrapText="1"/>
    </xf>
    <xf numFmtId="0" fontId="10" fillId="8" borderId="12" xfId="4" applyFont="1" applyFill="1" applyBorder="1" applyAlignment="1">
      <alignment horizontal="center" vertical="top" wrapText="1"/>
    </xf>
    <xf numFmtId="0" fontId="9" fillId="8" borderId="7" xfId="4" applyFont="1" applyFill="1" applyBorder="1" applyAlignment="1">
      <alignment horizontal="left" vertical="top" wrapText="1"/>
    </xf>
    <xf numFmtId="0" fontId="9" fillId="8" borderId="13" xfId="4" applyFont="1" applyFill="1" applyBorder="1" applyAlignment="1">
      <alignment horizontal="left" vertical="top" wrapText="1"/>
    </xf>
    <xf numFmtId="0" fontId="6" fillId="8" borderId="3" xfId="4" applyFont="1" applyFill="1" applyBorder="1" applyAlignment="1">
      <alignment vertical="top" wrapText="1"/>
    </xf>
    <xf numFmtId="0" fontId="10" fillId="8" borderId="3" xfId="4" applyFont="1" applyFill="1" applyBorder="1" applyAlignment="1">
      <alignment vertical="top" wrapText="1"/>
    </xf>
    <xf numFmtId="165" fontId="10" fillId="8" borderId="3" xfId="5" applyNumberFormat="1" applyFont="1" applyFill="1" applyBorder="1" applyAlignment="1">
      <alignment vertical="top" wrapText="1"/>
    </xf>
    <xf numFmtId="0" fontId="9" fillId="8" borderId="3" xfId="4" applyFont="1" applyFill="1" applyBorder="1" applyAlignment="1">
      <alignment vertical="top" wrapText="1"/>
    </xf>
    <xf numFmtId="4" fontId="9" fillId="3" borderId="3" xfId="1" applyNumberFormat="1" applyFont="1" applyFill="1" applyBorder="1" applyAlignment="1">
      <alignment horizontal="center" vertical="center" wrapText="1"/>
    </xf>
    <xf numFmtId="4" fontId="9" fillId="8" borderId="3" xfId="4" applyNumberFormat="1" applyFont="1" applyFill="1" applyBorder="1" applyAlignment="1">
      <alignment horizontal="center" vertical="center" wrapText="1"/>
    </xf>
    <xf numFmtId="0" fontId="9" fillId="4" borderId="3" xfId="4" applyFont="1" applyFill="1" applyBorder="1" applyAlignment="1">
      <alignment horizontal="left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6" borderId="4" xfId="4" applyFont="1" applyFill="1" applyBorder="1" applyAlignment="1">
      <alignment horizontal="center" vertical="center" wrapText="1"/>
    </xf>
    <xf numFmtId="0" fontId="9" fillId="6" borderId="6" xfId="4" applyFont="1" applyFill="1" applyBorder="1" applyAlignment="1">
      <alignment horizontal="center" vertical="center" wrapText="1"/>
    </xf>
    <xf numFmtId="0" fontId="9" fillId="6" borderId="5" xfId="4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9" fillId="0" borderId="4" xfId="4" applyNumberFormat="1" applyFont="1" applyBorder="1" applyAlignment="1">
      <alignment horizontal="center" vertical="center" wrapText="1"/>
    </xf>
    <xf numFmtId="164" fontId="9" fillId="0" borderId="5" xfId="4" applyNumberFormat="1" applyFont="1" applyBorder="1" applyAlignment="1">
      <alignment horizontal="center" vertical="center" wrapText="1"/>
    </xf>
    <xf numFmtId="0" fontId="9" fillId="4" borderId="4" xfId="4" applyFont="1" applyFill="1" applyBorder="1" applyAlignment="1">
      <alignment horizontal="left" vertical="center" wrapText="1"/>
    </xf>
    <xf numFmtId="0" fontId="9" fillId="4" borderId="6" xfId="4" applyFont="1" applyFill="1" applyBorder="1" applyAlignment="1">
      <alignment horizontal="left" vertical="center" wrapText="1"/>
    </xf>
    <xf numFmtId="0" fontId="9" fillId="4" borderId="5" xfId="4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164" fontId="8" fillId="0" borderId="1" xfId="4" applyNumberFormat="1" applyFont="1" applyBorder="1" applyAlignment="1">
      <alignment horizontal="center" vertical="center" wrapText="1"/>
    </xf>
    <xf numFmtId="164" fontId="8" fillId="0" borderId="2" xfId="4" applyNumberFormat="1" applyFont="1" applyBorder="1" applyAlignment="1">
      <alignment horizontal="center" vertical="center" wrapText="1"/>
    </xf>
    <xf numFmtId="49" fontId="9" fillId="0" borderId="3" xfId="4" applyNumberFormat="1" applyFont="1" applyBorder="1" applyAlignment="1">
      <alignment horizontal="center" vertical="center" wrapText="1"/>
    </xf>
    <xf numFmtId="4" fontId="9" fillId="0" borderId="3" xfId="4" applyNumberFormat="1" applyFont="1" applyBorder="1" applyAlignment="1">
      <alignment horizontal="center" vertical="center" wrapText="1"/>
    </xf>
  </cellXfs>
  <cellStyles count="329">
    <cellStyle name="20% - Accent1" xfId="27"/>
    <cellStyle name="20% - Accent1 2" xfId="28"/>
    <cellStyle name="20% - Accent1 2 2" xfId="29"/>
    <cellStyle name="20% - Accent1 3" xfId="30"/>
    <cellStyle name="20% - Accent1_ПРОГРАММНЫЕ МЕРОПРИЯТИЯ" xfId="31"/>
    <cellStyle name="20% - Accent2" xfId="32"/>
    <cellStyle name="20% - Accent2 2" xfId="33"/>
    <cellStyle name="20% - Accent2 2 2" xfId="34"/>
    <cellStyle name="20% - Accent2 3" xfId="35"/>
    <cellStyle name="20% - Accent2_ПРОГРАММНЫЕ МЕРОПРИЯТИЯ" xfId="36"/>
    <cellStyle name="20% - Accent3" xfId="37"/>
    <cellStyle name="20% - Accent3 2" xfId="38"/>
    <cellStyle name="20% - Accent3 2 2" xfId="39"/>
    <cellStyle name="20% - Accent3 3" xfId="40"/>
    <cellStyle name="20% - Accent3_ПРОГРАММНЫЕ МЕРОПРИЯТИЯ" xfId="41"/>
    <cellStyle name="20% - Accent4" xfId="42"/>
    <cellStyle name="20% - Accent4 2" xfId="43"/>
    <cellStyle name="20% - Accent4 2 2" xfId="44"/>
    <cellStyle name="20% - Accent4 3" xfId="45"/>
    <cellStyle name="20% - Accent4_ПРОГРАММНЫЕ МЕРОПРИЯТИЯ" xfId="46"/>
    <cellStyle name="20% - Accent5" xfId="47"/>
    <cellStyle name="20% - Accent5 2" xfId="48"/>
    <cellStyle name="20% - Accent5 2 2" xfId="49"/>
    <cellStyle name="20% - Accent5 3" xfId="50"/>
    <cellStyle name="20% - Accent5_ПРОГРАММНЫЕ МЕРОПРИЯТИЯ" xfId="51"/>
    <cellStyle name="20% - Accent6" xfId="52"/>
    <cellStyle name="20% - Accent6 2" xfId="53"/>
    <cellStyle name="20% - Accent6 2 2" xfId="54"/>
    <cellStyle name="20% - Accent6 3" xfId="55"/>
    <cellStyle name="20% - Accent6_ПРОГРАММНЫЕ МЕРОПРИЯТИЯ" xfId="56"/>
    <cellStyle name="20% - Акцент1 2" xfId="57"/>
    <cellStyle name="20% - Акцент1 2 2" xfId="58"/>
    <cellStyle name="20% - Акцент1 2 2 2" xfId="59"/>
    <cellStyle name="20% - Акцент1 2 3" xfId="60"/>
    <cellStyle name="20% - Акцент1 2_ПРОГРАММНЫЕ МЕРОПРИЯТИЯ" xfId="61"/>
    <cellStyle name="20% - Акцент1 3" xfId="62"/>
    <cellStyle name="20% - Акцент1 3 2" xfId="63"/>
    <cellStyle name="20% - Акцент2 2" xfId="64"/>
    <cellStyle name="20% - Акцент2 2 2" xfId="65"/>
    <cellStyle name="20% - Акцент2 2 2 2" xfId="66"/>
    <cellStyle name="20% - Акцент2 2 3" xfId="67"/>
    <cellStyle name="20% - Акцент2 2_ПРОГРАММНЫЕ МЕРОПРИЯТИЯ" xfId="68"/>
    <cellStyle name="20% - Акцент2 3" xfId="69"/>
    <cellStyle name="20% - Акцент2 3 2" xfId="70"/>
    <cellStyle name="20% - Акцент3 2" xfId="71"/>
    <cellStyle name="20% - Акцент3 2 2" xfId="72"/>
    <cellStyle name="20% - Акцент3 2 2 2" xfId="73"/>
    <cellStyle name="20% - Акцент3 2 3" xfId="74"/>
    <cellStyle name="20% - Акцент3 2_ПРОГРАММНЫЕ МЕРОПРИЯТИЯ" xfId="75"/>
    <cellStyle name="20% - Акцент3 3" xfId="76"/>
    <cellStyle name="20% - Акцент3 3 2" xfId="77"/>
    <cellStyle name="20% - Акцент4 2" xfId="78"/>
    <cellStyle name="20% - Акцент4 2 2" xfId="79"/>
    <cellStyle name="20% - Акцент4 2 2 2" xfId="80"/>
    <cellStyle name="20% - Акцент4 2 3" xfId="81"/>
    <cellStyle name="20% - Акцент4 2_ПРОГРАММНЫЕ МЕРОПРИЯТИЯ" xfId="82"/>
    <cellStyle name="20% - Акцент4 3" xfId="83"/>
    <cellStyle name="20% - Акцент4 3 2" xfId="84"/>
    <cellStyle name="20% - Акцент5 2" xfId="85"/>
    <cellStyle name="20% - Акцент5 2 2" xfId="86"/>
    <cellStyle name="20% - Акцент5 2 2 2" xfId="87"/>
    <cellStyle name="20% - Акцент5 2 3" xfId="88"/>
    <cellStyle name="20% - Акцент5 2_ПРОГРАММНЫЕ МЕРОПРИЯТИЯ" xfId="89"/>
    <cellStyle name="20% - Акцент5 3" xfId="90"/>
    <cellStyle name="20% - Акцент5 3 2" xfId="91"/>
    <cellStyle name="20% - Акцент6 2" xfId="92"/>
    <cellStyle name="20% - Акцент6 2 2" xfId="93"/>
    <cellStyle name="20% - Акцент6 2 2 2" xfId="94"/>
    <cellStyle name="20% - Акцент6 2 3" xfId="95"/>
    <cellStyle name="20% - Акцент6 2_ПРОГРАММНЫЕ МЕРОПРИЯТИЯ" xfId="96"/>
    <cellStyle name="20% - Акцент6 3" xfId="97"/>
    <cellStyle name="20% - Акцент6 3 2" xfId="98"/>
    <cellStyle name="40% - Accent1" xfId="99"/>
    <cellStyle name="40% - Accent1 2" xfId="100"/>
    <cellStyle name="40% - Accent1 2 2" xfId="101"/>
    <cellStyle name="40% - Accent1 3" xfId="102"/>
    <cellStyle name="40% - Accent1_ПРОГРАММНЫЕ МЕРОПРИЯТИЯ" xfId="103"/>
    <cellStyle name="40% - Accent2" xfId="104"/>
    <cellStyle name="40% - Accent2 2" xfId="105"/>
    <cellStyle name="40% - Accent2 2 2" xfId="106"/>
    <cellStyle name="40% - Accent2 3" xfId="107"/>
    <cellStyle name="40% - Accent2_ПРОГРАММНЫЕ МЕРОПРИЯТИЯ" xfId="108"/>
    <cellStyle name="40% - Accent3" xfId="109"/>
    <cellStyle name="40% - Accent3 2" xfId="110"/>
    <cellStyle name="40% - Accent3 2 2" xfId="111"/>
    <cellStyle name="40% - Accent3 3" xfId="112"/>
    <cellStyle name="40% - Accent3_ПРОГРАММНЫЕ МЕРОПРИЯТИЯ" xfId="113"/>
    <cellStyle name="40% - Accent4" xfId="114"/>
    <cellStyle name="40% - Accent4 2" xfId="115"/>
    <cellStyle name="40% - Accent4 2 2" xfId="116"/>
    <cellStyle name="40% - Accent4 3" xfId="117"/>
    <cellStyle name="40% - Accent4_ПРОГРАММНЫЕ МЕРОПРИЯТИЯ" xfId="118"/>
    <cellStyle name="40% - Accent5" xfId="119"/>
    <cellStyle name="40% - Accent5 2" xfId="120"/>
    <cellStyle name="40% - Accent5 2 2" xfId="121"/>
    <cellStyle name="40% - Accent5 3" xfId="122"/>
    <cellStyle name="40% - Accent5_ПРОГРАММНЫЕ МЕРОПРИЯТИЯ" xfId="123"/>
    <cellStyle name="40% - Accent6" xfId="124"/>
    <cellStyle name="40% - Accent6 2" xfId="125"/>
    <cellStyle name="40% - Accent6 2 2" xfId="126"/>
    <cellStyle name="40% - Accent6 3" xfId="127"/>
    <cellStyle name="40% - Accent6_ПРОГРАММНЫЕ МЕРОПРИЯТИЯ" xfId="128"/>
    <cellStyle name="40% - Акцент1 2" xfId="129"/>
    <cellStyle name="40% - Акцент1 2 2" xfId="130"/>
    <cellStyle name="40% - Акцент1 2 2 2" xfId="131"/>
    <cellStyle name="40% - Акцент1 2 3" xfId="132"/>
    <cellStyle name="40% - Акцент1 2_ПРОГРАММНЫЕ МЕРОПРИЯТИЯ" xfId="133"/>
    <cellStyle name="40% - Акцент1 3" xfId="134"/>
    <cellStyle name="40% - Акцент1 3 2" xfId="135"/>
    <cellStyle name="40% - Акцент2 2" xfId="136"/>
    <cellStyle name="40% - Акцент2 2 2" xfId="137"/>
    <cellStyle name="40% - Акцент2 2 2 2" xfId="138"/>
    <cellStyle name="40% - Акцент2 2 3" xfId="139"/>
    <cellStyle name="40% - Акцент2 2_ПРОГРАММНЫЕ МЕРОПРИЯТИЯ" xfId="140"/>
    <cellStyle name="40% - Акцент2 3" xfId="141"/>
    <cellStyle name="40% - Акцент2 3 2" xfId="142"/>
    <cellStyle name="40% - Акцент3 2" xfId="143"/>
    <cellStyle name="40% - Акцент3 2 2" xfId="144"/>
    <cellStyle name="40% - Акцент3 2 2 2" xfId="145"/>
    <cellStyle name="40% - Акцент3 2 3" xfId="146"/>
    <cellStyle name="40% - Акцент3 2_ПРОГРАММНЫЕ МЕРОПРИЯТИЯ" xfId="147"/>
    <cellStyle name="40% - Акцент3 3" xfId="148"/>
    <cellStyle name="40% - Акцент3 3 2" xfId="149"/>
    <cellStyle name="40% - Акцент4 2" xfId="150"/>
    <cellStyle name="40% - Акцент4 2 2" xfId="151"/>
    <cellStyle name="40% - Акцент4 2 2 2" xfId="152"/>
    <cellStyle name="40% - Акцент4 2 3" xfId="153"/>
    <cellStyle name="40% - Акцент4 2_ПРОГРАММНЫЕ МЕРОПРИЯТИЯ" xfId="154"/>
    <cellStyle name="40% - Акцент4 3" xfId="155"/>
    <cellStyle name="40% - Акцент4 3 2" xfId="156"/>
    <cellStyle name="40% - Акцент5 2" xfId="157"/>
    <cellStyle name="40% - Акцент5 2 2" xfId="158"/>
    <cellStyle name="40% - Акцент5 2 2 2" xfId="159"/>
    <cellStyle name="40% - Акцент5 2 3" xfId="160"/>
    <cellStyle name="40% - Акцент5 2_ПРОГРАММНЫЕ МЕРОПРИЯТИЯ" xfId="161"/>
    <cellStyle name="40% - Акцент5 3" xfId="162"/>
    <cellStyle name="40% - Акцент5 3 2" xfId="163"/>
    <cellStyle name="40% - Акцент6 2" xfId="164"/>
    <cellStyle name="40% - Акцент6 2 2" xfId="165"/>
    <cellStyle name="40% - Акцент6 2 2 2" xfId="166"/>
    <cellStyle name="40% - Акцент6 2 3" xfId="167"/>
    <cellStyle name="40% - Акцент6 2_ПРОГРАММНЫЕ МЕРОПРИЯТИЯ" xfId="168"/>
    <cellStyle name="40% - Акцент6 3" xfId="169"/>
    <cellStyle name="40% - Акцент6 3 2" xfId="170"/>
    <cellStyle name="60% - Accent1" xfId="171"/>
    <cellStyle name="60% - Accent1 2" xfId="172"/>
    <cellStyle name="60% - Accent2" xfId="173"/>
    <cellStyle name="60% - Accent2 2" xfId="174"/>
    <cellStyle name="60% - Accent3" xfId="175"/>
    <cellStyle name="60% - Accent3 2" xfId="176"/>
    <cellStyle name="60% - Accent4" xfId="177"/>
    <cellStyle name="60% - Accent4 2" xfId="178"/>
    <cellStyle name="60% - Accent5" xfId="179"/>
    <cellStyle name="60% - Accent5 2" xfId="180"/>
    <cellStyle name="60% - Accent6" xfId="181"/>
    <cellStyle name="60% - Accent6 2" xfId="182"/>
    <cellStyle name="60% - Акцент1 2" xfId="183"/>
    <cellStyle name="60% - Акцент1 2 2" xfId="184"/>
    <cellStyle name="60% - Акцент1 3" xfId="185"/>
    <cellStyle name="60% - Акцент2 2" xfId="186"/>
    <cellStyle name="60% - Акцент2 2 2" xfId="187"/>
    <cellStyle name="60% - Акцент2 3" xfId="188"/>
    <cellStyle name="60% - Акцент3 2" xfId="189"/>
    <cellStyle name="60% - Акцент3 2 2" xfId="190"/>
    <cellStyle name="60% - Акцент3 3" xfId="191"/>
    <cellStyle name="60% - Акцент4 2" xfId="192"/>
    <cellStyle name="60% - Акцент4 2 2" xfId="193"/>
    <cellStyle name="60% - Акцент4 3" xfId="194"/>
    <cellStyle name="60% - Акцент5 2" xfId="195"/>
    <cellStyle name="60% - Акцент5 2 2" xfId="196"/>
    <cellStyle name="60% - Акцент5 3" xfId="197"/>
    <cellStyle name="60% - Акцент6 2" xfId="198"/>
    <cellStyle name="60% - Акцент6 2 2" xfId="199"/>
    <cellStyle name="60% - Акцент6 3" xfId="200"/>
    <cellStyle name="Accent1" xfId="201"/>
    <cellStyle name="Accent1 2" xfId="202"/>
    <cellStyle name="Accent2" xfId="203"/>
    <cellStyle name="Accent2 2" xfId="204"/>
    <cellStyle name="Accent3" xfId="205"/>
    <cellStyle name="Accent3 2" xfId="206"/>
    <cellStyle name="Accent4" xfId="207"/>
    <cellStyle name="Accent4 2" xfId="208"/>
    <cellStyle name="Accent5" xfId="209"/>
    <cellStyle name="Accent5 2" xfId="210"/>
    <cellStyle name="Accent6" xfId="211"/>
    <cellStyle name="Accent6 2" xfId="212"/>
    <cellStyle name="Bad" xfId="213"/>
    <cellStyle name="Bad 2" xfId="214"/>
    <cellStyle name="br" xfId="215"/>
    <cellStyle name="br 2" xfId="216"/>
    <cellStyle name="Calculation" xfId="217"/>
    <cellStyle name="Calculation 2" xfId="218"/>
    <cellStyle name="Check Cell" xfId="219"/>
    <cellStyle name="Check Cell 2" xfId="220"/>
    <cellStyle name="col" xfId="221"/>
    <cellStyle name="col 2" xfId="222"/>
    <cellStyle name="Excel Built-in Normal" xfId="223"/>
    <cellStyle name="Excel Built-in Normal 2" xfId="224"/>
    <cellStyle name="Explanatory Text" xfId="225"/>
    <cellStyle name="Good" xfId="226"/>
    <cellStyle name="Good 2" xfId="227"/>
    <cellStyle name="Heading 1" xfId="228"/>
    <cellStyle name="Heading 2" xfId="229"/>
    <cellStyle name="Heading 3" xfId="230"/>
    <cellStyle name="Heading 4" xfId="231"/>
    <cellStyle name="Input" xfId="232"/>
    <cellStyle name="Input 2" xfId="233"/>
    <cellStyle name="Linked Cell" xfId="234"/>
    <cellStyle name="Neutral" xfId="235"/>
    <cellStyle name="Neutral 2" xfId="236"/>
    <cellStyle name="normal" xfId="237"/>
    <cellStyle name="Note" xfId="238"/>
    <cellStyle name="Note 2" xfId="239"/>
    <cellStyle name="Note 2 2" xfId="240"/>
    <cellStyle name="Output" xfId="241"/>
    <cellStyle name="Output 2" xfId="242"/>
    <cellStyle name="style0" xfId="243"/>
    <cellStyle name="TableStyleLight1" xfId="18"/>
    <cellStyle name="TableStyleLight1 2" xfId="244"/>
    <cellStyle name="td" xfId="245"/>
    <cellStyle name="Title" xfId="246"/>
    <cellStyle name="Total" xfId="247"/>
    <cellStyle name="tr" xfId="248"/>
    <cellStyle name="tr 2" xfId="249"/>
    <cellStyle name="Warning Text" xfId="250"/>
    <cellStyle name="xl21" xfId="251"/>
    <cellStyle name="xl22" xfId="252"/>
    <cellStyle name="xl23" xfId="253"/>
    <cellStyle name="xl24" xfId="254"/>
    <cellStyle name="xl25" xfId="255"/>
    <cellStyle name="xl26" xfId="256"/>
    <cellStyle name="xl27" xfId="257"/>
    <cellStyle name="xl28" xfId="258"/>
    <cellStyle name="xl29" xfId="259"/>
    <cellStyle name="xl30" xfId="260"/>
    <cellStyle name="xl31" xfId="261"/>
    <cellStyle name="xl32" xfId="262"/>
    <cellStyle name="xl33" xfId="263"/>
    <cellStyle name="xl34" xfId="264"/>
    <cellStyle name="xl35" xfId="265"/>
    <cellStyle name="xl36" xfId="266"/>
    <cellStyle name="xl37" xfId="267"/>
    <cellStyle name="xl38" xfId="268"/>
    <cellStyle name="xl39" xfId="269"/>
    <cellStyle name="xl40" xfId="10"/>
    <cellStyle name="xl41" xfId="270"/>
    <cellStyle name="xl42" xfId="271"/>
    <cellStyle name="xl43" xfId="272"/>
    <cellStyle name="xl43 2" xfId="273"/>
    <cellStyle name="xl43 3" xfId="274"/>
    <cellStyle name="xl44" xfId="275"/>
    <cellStyle name="xl44 2" xfId="276"/>
    <cellStyle name="xl44 3" xfId="277"/>
    <cellStyle name="xl45" xfId="278"/>
    <cellStyle name="xl46" xfId="279"/>
    <cellStyle name="xl60" xfId="12"/>
    <cellStyle name="xl63" xfId="280"/>
    <cellStyle name="Акцент1 2" xfId="281"/>
    <cellStyle name="Акцент2 2" xfId="282"/>
    <cellStyle name="Акцент3 2" xfId="283"/>
    <cellStyle name="Акцент4 2" xfId="284"/>
    <cellStyle name="Акцент5 2" xfId="285"/>
    <cellStyle name="Акцент6 2" xfId="286"/>
    <cellStyle name="Ввод  2" xfId="287"/>
    <cellStyle name="Вывод 2" xfId="288"/>
    <cellStyle name="Вычисление 2" xfId="289"/>
    <cellStyle name="Денежный" xfId="2" builtinId="4"/>
    <cellStyle name="Денежный 2" xfId="290"/>
    <cellStyle name="Денежный 2 2" xfId="291"/>
    <cellStyle name="Заголовок 1 2" xfId="292"/>
    <cellStyle name="Заголовок 2 2" xfId="293"/>
    <cellStyle name="Заголовок 3 2" xfId="294"/>
    <cellStyle name="Заголовок 4 2" xfId="295"/>
    <cellStyle name="Итог 2" xfId="296"/>
    <cellStyle name="Контрольная ячейка 2" xfId="297"/>
    <cellStyle name="Название 2" xfId="298"/>
    <cellStyle name="Нейтральный 2" xfId="299"/>
    <cellStyle name="Обычный" xfId="0" builtinId="0"/>
    <cellStyle name="Обычный 10" xfId="300"/>
    <cellStyle name="Обычный 2" xfId="301"/>
    <cellStyle name="Обычный 2 2" xfId="302"/>
    <cellStyle name="Обычный 3" xfId="303"/>
    <cellStyle name="Обычный 4" xfId="304"/>
    <cellStyle name="Обычный 4 2" xfId="13"/>
    <cellStyle name="Обычный 4_ПРОГРАММНЫЕ МЕРОПРИЯТИЯ" xfId="305"/>
    <cellStyle name="Обычный 5" xfId="306"/>
    <cellStyle name="Обычный 5 2" xfId="307"/>
    <cellStyle name="Обычный 6" xfId="308"/>
    <cellStyle name="Обычный 6 2" xfId="309"/>
    <cellStyle name="Обычный 7" xfId="310"/>
    <cellStyle name="Обычный 7 2" xfId="7"/>
    <cellStyle name="Обычный 8" xfId="9"/>
    <cellStyle name="Обычный 9" xfId="4"/>
    <cellStyle name="Обычный_Xl0002320" xfId="17"/>
    <cellStyle name="Обычный_КАДРЫ 2014 изменен к приказу 12.07" xfId="19"/>
    <cellStyle name="Обычный_КАДРЫ 2014 изменен к приказу 12.07 2" xfId="24"/>
    <cellStyle name="Обычный_Лист1 2" xfId="8"/>
    <cellStyle name="Обычный_Льготы по ком. услуги" xfId="26"/>
    <cellStyle name="Обычный_Смета бюджет 07последняя" xfId="14"/>
    <cellStyle name="Плохой 2" xfId="311"/>
    <cellStyle name="Пояснение" xfId="3" builtinId="53"/>
    <cellStyle name="Пояснение 2" xfId="312"/>
    <cellStyle name="Примечание 2" xfId="313"/>
    <cellStyle name="Связанная ячейка 2" xfId="314"/>
    <cellStyle name="Стиль 1" xfId="315"/>
    <cellStyle name="Стиль 1 2" xfId="316"/>
    <cellStyle name="Текст предупреждения 2" xfId="317"/>
    <cellStyle name="Финансовый" xfId="1" builtinId="3"/>
    <cellStyle name="Финансовый 10" xfId="318"/>
    <cellStyle name="Финансовый 10 2" xfId="11"/>
    <cellStyle name="Финансовый 2" xfId="319"/>
    <cellStyle name="Финансовый 2 2" xfId="320"/>
    <cellStyle name="Финансовый 2 2 2" xfId="321"/>
    <cellStyle name="Финансовый 2 2 2 2" xfId="6"/>
    <cellStyle name="Финансовый 2 2 3" xfId="322"/>
    <cellStyle name="Финансовый 2 3" xfId="323"/>
    <cellStyle name="Финансовый 3" xfId="25"/>
    <cellStyle name="Финансовый 3 2" xfId="16"/>
    <cellStyle name="Финансовый 4" xfId="23"/>
    <cellStyle name="Финансовый 4 2" xfId="15"/>
    <cellStyle name="Финансовый 4 2 2" xfId="324"/>
    <cellStyle name="Финансовый 4_ПРОГРАММНЫЕ МЕРОПРИЯТИЯ" xfId="325"/>
    <cellStyle name="Финансовый 5" xfId="20"/>
    <cellStyle name="Финансовый 6" xfId="5"/>
    <cellStyle name="Финансовый 7" xfId="326"/>
    <cellStyle name="Финансовый 7 2" xfId="22"/>
    <cellStyle name="Финансовый 9" xfId="327"/>
    <cellStyle name="Финансовый 9 2" xfId="21"/>
    <cellStyle name="Хороший 2" xfId="3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I684"/>
  <sheetViews>
    <sheetView tabSelected="1" view="pageBreakPreview" zoomScale="70" zoomScaleSheetLayoutView="70" workbookViewId="0">
      <pane ySplit="7" topLeftCell="A668" activePane="bottomLeft" state="frozen"/>
      <selection pane="bottomLeft" activeCell="W6" sqref="W6:X6"/>
    </sheetView>
  </sheetViews>
  <sheetFormatPr defaultRowHeight="23.25" outlineLevelRow="1" outlineLevelCol="1"/>
  <cols>
    <col min="1" max="1" width="25.85546875" style="901" customWidth="1"/>
    <col min="2" max="2" width="6.28515625" style="7" customWidth="1"/>
    <col min="3" max="3" width="8.140625" style="7" customWidth="1"/>
    <col min="4" max="4" width="12" style="7" customWidth="1"/>
    <col min="5" max="5" width="6.5703125" style="7" customWidth="1"/>
    <col min="6" max="6" width="8.42578125" style="7" hidden="1" customWidth="1" outlineLevel="1"/>
    <col min="7" max="7" width="10.42578125" style="902" customWidth="1" collapsed="1"/>
    <col min="8" max="8" width="7.85546875" style="7" customWidth="1"/>
    <col min="9" max="9" width="43.140625" style="7" customWidth="1"/>
    <col min="10" max="10" width="23.7109375" style="586" hidden="1" customWidth="1" outlineLevel="1"/>
    <col min="11" max="11" width="24.5703125" style="268" hidden="1" customWidth="1" outlineLevel="1"/>
    <col min="12" max="12" width="27.140625" style="7" hidden="1" customWidth="1" outlineLevel="1" collapsed="1"/>
    <col min="13" max="13" width="30.5703125" style="8" customWidth="1" collapsed="1"/>
    <col min="14" max="14" width="4.5703125" style="7" customWidth="1"/>
    <col min="15" max="15" width="19.85546875" style="268" hidden="1" customWidth="1" outlineLevel="1"/>
    <col min="16" max="16" width="20.7109375" style="268" hidden="1" customWidth="1" outlineLevel="1"/>
    <col min="17" max="17" width="21" style="578" hidden="1" customWidth="1" outlineLevel="1"/>
    <col min="18" max="18" width="25.28515625" style="578" hidden="1" customWidth="1" outlineLevel="1" collapsed="1"/>
    <col min="19" max="19" width="24.7109375" style="578" hidden="1" customWidth="1" outlineLevel="1"/>
    <col min="20" max="20" width="25" style="578" hidden="1" customWidth="1" outlineLevel="1"/>
    <col min="21" max="21" width="21.5703125" style="578" customWidth="1" collapsed="1"/>
    <col min="22" max="22" width="22.85546875" style="578" customWidth="1"/>
    <col min="23" max="23" width="21.7109375" style="578" customWidth="1"/>
    <col min="24" max="24" width="22" style="578" customWidth="1"/>
    <col min="25" max="25" width="22.140625" style="578" customWidth="1"/>
    <col min="26" max="26" width="22.85546875" style="7" customWidth="1"/>
    <col min="27" max="27" width="21.140625" style="904" bestFit="1" customWidth="1"/>
    <col min="28" max="28" width="26.140625" style="904" customWidth="1"/>
    <col min="29" max="30" width="17.42578125" style="904" customWidth="1"/>
    <col min="31" max="32" width="17.42578125" style="7" customWidth="1"/>
    <col min="33" max="16384" width="9.140625" style="7"/>
  </cols>
  <sheetData>
    <row r="1" spans="1:34">
      <c r="A1" s="1"/>
      <c r="B1" s="2"/>
      <c r="C1" s="2"/>
      <c r="D1" s="2"/>
      <c r="E1" s="2"/>
      <c r="F1" s="2"/>
      <c r="G1" s="3"/>
      <c r="H1" s="2"/>
      <c r="I1" s="2"/>
      <c r="J1" s="4"/>
      <c r="K1" s="5"/>
      <c r="L1" s="2"/>
      <c r="M1" s="1236" t="s">
        <v>0</v>
      </c>
      <c r="N1" s="1236"/>
      <c r="O1" s="1236"/>
      <c r="P1" s="1236"/>
      <c r="Q1" s="1236"/>
      <c r="R1" s="1236"/>
      <c r="S1" s="1236"/>
      <c r="T1" s="1236"/>
      <c r="U1" s="1236"/>
      <c r="V1" s="1236"/>
      <c r="W1" s="1236"/>
      <c r="X1" s="1236"/>
      <c r="Y1" s="1236"/>
      <c r="Z1" s="1236"/>
      <c r="AA1" s="903"/>
      <c r="AB1" s="903"/>
      <c r="AC1" s="903"/>
      <c r="AD1" s="903"/>
      <c r="AE1" s="6"/>
      <c r="AF1" s="6"/>
      <c r="AG1" s="6"/>
      <c r="AH1" s="6"/>
    </row>
    <row r="2" spans="1:34">
      <c r="A2" s="1"/>
      <c r="B2" s="2"/>
      <c r="C2" s="2"/>
      <c r="D2" s="2"/>
      <c r="E2" s="2"/>
      <c r="F2" s="2"/>
      <c r="G2" s="3"/>
      <c r="H2" s="2"/>
      <c r="J2" s="4"/>
      <c r="K2" s="5"/>
      <c r="L2" s="2"/>
      <c r="N2" s="1236" t="s">
        <v>1</v>
      </c>
      <c r="O2" s="1236"/>
      <c r="P2" s="1236"/>
      <c r="Q2" s="1236"/>
      <c r="R2" s="1236"/>
      <c r="S2" s="1236"/>
      <c r="T2" s="1236"/>
      <c r="U2" s="1236"/>
      <c r="V2" s="1236"/>
      <c r="W2" s="1236"/>
      <c r="X2" s="1236"/>
      <c r="Y2" s="1236"/>
      <c r="Z2" s="1236"/>
      <c r="AA2" s="903"/>
    </row>
    <row r="3" spans="1:34">
      <c r="A3" s="1"/>
      <c r="B3" s="2"/>
      <c r="C3" s="2"/>
      <c r="D3" s="2"/>
      <c r="E3" s="2"/>
      <c r="F3" s="2"/>
      <c r="G3" s="3"/>
      <c r="H3" s="2"/>
      <c r="I3" s="2"/>
      <c r="J3" s="4"/>
      <c r="K3" s="5"/>
      <c r="L3" s="2"/>
      <c r="N3" s="2"/>
      <c r="O3" s="5"/>
      <c r="P3" s="5"/>
      <c r="Q3" s="9"/>
      <c r="R3" s="9"/>
      <c r="S3" s="9"/>
      <c r="T3" s="9"/>
      <c r="U3" s="9"/>
      <c r="V3" s="9"/>
      <c r="W3" s="9"/>
      <c r="X3" s="9"/>
      <c r="Y3" s="9"/>
      <c r="Z3" s="2"/>
    </row>
    <row r="4" spans="1:34" ht="42" customHeight="1">
      <c r="A4" s="1237" t="s">
        <v>2</v>
      </c>
      <c r="B4" s="1237"/>
      <c r="C4" s="1237"/>
      <c r="D4" s="1237"/>
      <c r="E4" s="1237"/>
      <c r="F4" s="1237"/>
      <c r="G4" s="1237"/>
      <c r="H4" s="1237"/>
      <c r="I4" s="1237"/>
      <c r="J4" s="1237"/>
      <c r="K4" s="1237"/>
      <c r="L4" s="1237"/>
      <c r="M4" s="1237"/>
      <c r="N4" s="1237"/>
      <c r="O4" s="1237"/>
      <c r="P4" s="1237"/>
      <c r="Q4" s="1237"/>
      <c r="R4" s="1237"/>
      <c r="S4" s="1237"/>
      <c r="T4" s="1237"/>
      <c r="U4" s="1237"/>
      <c r="V4" s="1237"/>
      <c r="W4" s="1237"/>
      <c r="X4" s="1237"/>
      <c r="Y4" s="1237"/>
      <c r="Z4" s="1237"/>
    </row>
    <row r="5" spans="1:34" ht="8.25" customHeight="1">
      <c r="A5" s="1238"/>
      <c r="B5" s="1239"/>
      <c r="C5" s="1239"/>
      <c r="D5" s="1239"/>
      <c r="E5" s="1239"/>
      <c r="F5" s="1239"/>
      <c r="G5" s="1239"/>
      <c r="H5" s="1239"/>
      <c r="I5" s="1239"/>
      <c r="J5" s="1239"/>
      <c r="K5" s="1239"/>
      <c r="L5" s="1239"/>
      <c r="M5" s="1239"/>
      <c r="N5" s="1239"/>
      <c r="O5" s="1239"/>
      <c r="P5" s="1239"/>
      <c r="Q5" s="1239"/>
      <c r="R5" s="1239"/>
      <c r="S5" s="1239"/>
      <c r="T5" s="1239"/>
      <c r="U5" s="9"/>
      <c r="V5" s="9"/>
      <c r="W5" s="9"/>
      <c r="X5" s="9"/>
      <c r="Y5" s="9"/>
      <c r="Z5" s="2"/>
    </row>
    <row r="6" spans="1:34" ht="30.75" customHeight="1">
      <c r="A6" s="1224" t="s">
        <v>3</v>
      </c>
      <c r="B6" s="1240" t="s">
        <v>4</v>
      </c>
      <c r="C6" s="1240"/>
      <c r="D6" s="1240"/>
      <c r="E6" s="1240"/>
      <c r="F6" s="1240"/>
      <c r="G6" s="1240"/>
      <c r="H6" s="1240"/>
      <c r="I6" s="1224" t="s">
        <v>5</v>
      </c>
      <c r="J6" s="1241" t="s">
        <v>6</v>
      </c>
      <c r="K6" s="1224" t="s">
        <v>7</v>
      </c>
      <c r="L6" s="1224" t="s">
        <v>8</v>
      </c>
      <c r="M6" s="1224"/>
      <c r="N6" s="1224"/>
      <c r="O6" s="1224"/>
      <c r="P6" s="1224"/>
      <c r="Q6" s="1224"/>
      <c r="R6" s="1224" t="s">
        <v>9</v>
      </c>
      <c r="S6" s="1224"/>
      <c r="T6" s="1224"/>
      <c r="U6" s="1229" t="s">
        <v>10</v>
      </c>
      <c r="V6" s="1230"/>
      <c r="W6" s="1229" t="s">
        <v>11</v>
      </c>
      <c r="X6" s="1230"/>
      <c r="Y6" s="1231" t="s">
        <v>12</v>
      </c>
      <c r="Z6" s="1232"/>
    </row>
    <row r="7" spans="1:34" ht="35.25" customHeight="1">
      <c r="A7" s="1224"/>
      <c r="B7" s="1240"/>
      <c r="C7" s="1240"/>
      <c r="D7" s="1240"/>
      <c r="E7" s="1240"/>
      <c r="F7" s="1240"/>
      <c r="G7" s="1240"/>
      <c r="H7" s="1240"/>
      <c r="I7" s="1224"/>
      <c r="J7" s="1241"/>
      <c r="K7" s="1224"/>
      <c r="L7" s="1224"/>
      <c r="M7" s="1224"/>
      <c r="N7" s="1224"/>
      <c r="O7" s="1224"/>
      <c r="P7" s="1224"/>
      <c r="Q7" s="1224"/>
      <c r="R7" s="10" t="s">
        <v>10</v>
      </c>
      <c r="S7" s="10" t="s">
        <v>11</v>
      </c>
      <c r="T7" s="10" t="s">
        <v>12</v>
      </c>
      <c r="U7" s="10" t="s">
        <v>13</v>
      </c>
      <c r="V7" s="11" t="s">
        <v>14</v>
      </c>
      <c r="W7" s="10" t="s">
        <v>13</v>
      </c>
      <c r="X7" s="11" t="s">
        <v>14</v>
      </c>
      <c r="Y7" s="10" t="s">
        <v>13</v>
      </c>
      <c r="Z7" s="11" t="s">
        <v>14</v>
      </c>
    </row>
    <row r="8" spans="1:34" ht="33.75" customHeight="1">
      <c r="A8" s="1223" t="s">
        <v>15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"/>
      <c r="P8" s="13"/>
      <c r="Q8" s="13"/>
      <c r="R8" s="14"/>
      <c r="S8" s="14"/>
      <c r="T8" s="14"/>
      <c r="U8" s="15">
        <f t="shared" ref="U8:Z8" si="0">U10+U11+U12</f>
        <v>408896410.90999997</v>
      </c>
      <c r="V8" s="15">
        <f t="shared" si="0"/>
        <v>408896410.90999997</v>
      </c>
      <c r="W8" s="15">
        <f t="shared" si="0"/>
        <v>182527605.60410002</v>
      </c>
      <c r="X8" s="15">
        <f t="shared" si="0"/>
        <v>182527605.60410002</v>
      </c>
      <c r="Y8" s="15">
        <f t="shared" si="0"/>
        <v>182527605.60410002</v>
      </c>
      <c r="Z8" s="15">
        <f t="shared" si="0"/>
        <v>182527605.60410002</v>
      </c>
    </row>
    <row r="9" spans="1:34" ht="18.75" customHeight="1">
      <c r="A9" s="1233" t="s">
        <v>16</v>
      </c>
      <c r="B9" s="1234"/>
      <c r="C9" s="1234"/>
      <c r="D9" s="1234"/>
      <c r="E9" s="1234"/>
      <c r="F9" s="1234"/>
      <c r="G9" s="1234"/>
      <c r="H9" s="1234"/>
      <c r="I9" s="1234"/>
      <c r="J9" s="1234"/>
      <c r="K9" s="1234"/>
      <c r="L9" s="1234"/>
      <c r="M9" s="1234"/>
      <c r="N9" s="1235"/>
      <c r="O9" s="12"/>
      <c r="P9" s="13"/>
      <c r="Q9" s="13"/>
      <c r="R9" s="14"/>
      <c r="S9" s="14"/>
      <c r="T9" s="14"/>
      <c r="U9" s="15"/>
      <c r="V9" s="15"/>
      <c r="W9" s="15"/>
      <c r="X9" s="15"/>
      <c r="Y9" s="15"/>
      <c r="Z9" s="15"/>
    </row>
    <row r="10" spans="1:34" ht="34.5" customHeight="1">
      <c r="A10" s="1223" t="s">
        <v>17</v>
      </c>
      <c r="B10" s="1223"/>
      <c r="C10" s="1223"/>
      <c r="D10" s="1223"/>
      <c r="E10" s="1223"/>
      <c r="F10" s="1223"/>
      <c r="G10" s="1223"/>
      <c r="H10" s="1223"/>
      <c r="I10" s="1223"/>
      <c r="J10" s="1223"/>
      <c r="K10" s="1223"/>
      <c r="L10" s="1223"/>
      <c r="M10" s="1223"/>
      <c r="N10" s="1223"/>
      <c r="O10" s="12"/>
      <c r="P10" s="13"/>
      <c r="Q10" s="13"/>
      <c r="R10" s="14"/>
      <c r="S10" s="14"/>
      <c r="T10" s="14"/>
      <c r="U10" s="15">
        <f t="shared" ref="U10:Z10" si="1">U14</f>
        <v>403559610.90999997</v>
      </c>
      <c r="V10" s="15">
        <f t="shared" si="1"/>
        <v>403559610.90999997</v>
      </c>
      <c r="W10" s="15">
        <f t="shared" si="1"/>
        <v>182527605.60410002</v>
      </c>
      <c r="X10" s="15">
        <f t="shared" si="1"/>
        <v>182527605.60410002</v>
      </c>
      <c r="Y10" s="15">
        <f t="shared" si="1"/>
        <v>182527605.60410002</v>
      </c>
      <c r="Z10" s="15">
        <f t="shared" si="1"/>
        <v>182527605.60410002</v>
      </c>
    </row>
    <row r="11" spans="1:34" ht="33" customHeight="1">
      <c r="A11" s="1223" t="s">
        <v>18</v>
      </c>
      <c r="B11" s="1223"/>
      <c r="C11" s="1223"/>
      <c r="D11" s="1223"/>
      <c r="E11" s="1223"/>
      <c r="F11" s="1223"/>
      <c r="G11" s="1223"/>
      <c r="H11" s="1223"/>
      <c r="I11" s="1223"/>
      <c r="J11" s="1223"/>
      <c r="K11" s="1223"/>
      <c r="L11" s="1223"/>
      <c r="M11" s="1223"/>
      <c r="N11" s="1223"/>
      <c r="O11" s="12"/>
      <c r="P11" s="13"/>
      <c r="Q11" s="13"/>
      <c r="R11" s="14"/>
      <c r="S11" s="14"/>
      <c r="T11" s="14"/>
      <c r="U11" s="15">
        <f t="shared" ref="U11:Z11" si="2">U644</f>
        <v>150000</v>
      </c>
      <c r="V11" s="15">
        <f t="shared" si="2"/>
        <v>150000</v>
      </c>
      <c r="W11" s="15">
        <f t="shared" si="2"/>
        <v>0</v>
      </c>
      <c r="X11" s="15">
        <f t="shared" si="2"/>
        <v>0</v>
      </c>
      <c r="Y11" s="15">
        <f t="shared" si="2"/>
        <v>0</v>
      </c>
      <c r="Z11" s="15">
        <f t="shared" si="2"/>
        <v>0</v>
      </c>
    </row>
    <row r="12" spans="1:34" ht="62.25" customHeight="1">
      <c r="A12" s="1223" t="s">
        <v>19</v>
      </c>
      <c r="B12" s="1223"/>
      <c r="C12" s="1223"/>
      <c r="D12" s="1223"/>
      <c r="E12" s="1223"/>
      <c r="F12" s="1223"/>
      <c r="G12" s="1223"/>
      <c r="H12" s="1223"/>
      <c r="I12" s="1223"/>
      <c r="J12" s="1223"/>
      <c r="K12" s="1223"/>
      <c r="L12" s="1223"/>
      <c r="M12" s="1223"/>
      <c r="N12" s="1223"/>
      <c r="O12" s="12"/>
      <c r="P12" s="13"/>
      <c r="Q12" s="13"/>
      <c r="R12" s="14"/>
      <c r="S12" s="14"/>
      <c r="T12" s="14"/>
      <c r="U12" s="15">
        <f t="shared" ref="U12:Z12" si="3">U649</f>
        <v>5186800</v>
      </c>
      <c r="V12" s="15">
        <f t="shared" si="3"/>
        <v>5186800</v>
      </c>
      <c r="W12" s="15">
        <f t="shared" si="3"/>
        <v>0</v>
      </c>
      <c r="X12" s="15">
        <f t="shared" si="3"/>
        <v>0</v>
      </c>
      <c r="Y12" s="15">
        <f t="shared" si="3"/>
        <v>0</v>
      </c>
      <c r="Z12" s="15">
        <f t="shared" si="3"/>
        <v>0</v>
      </c>
    </row>
    <row r="13" spans="1:34" ht="15.75" customHeight="1">
      <c r="A13" s="1224"/>
      <c r="B13" s="1224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6"/>
    </row>
    <row r="14" spans="1:34" ht="38.25" customHeight="1">
      <c r="A14" s="1225" t="s">
        <v>17</v>
      </c>
      <c r="B14" s="1225"/>
      <c r="C14" s="1225"/>
      <c r="D14" s="1225"/>
      <c r="E14" s="1225"/>
      <c r="F14" s="1225"/>
      <c r="G14" s="1225"/>
      <c r="H14" s="1225"/>
      <c r="I14" s="1225"/>
      <c r="J14" s="1225"/>
      <c r="K14" s="1225"/>
      <c r="L14" s="1225"/>
      <c r="M14" s="1225"/>
      <c r="N14" s="1225"/>
      <c r="O14" s="17"/>
      <c r="P14" s="17"/>
      <c r="Q14" s="17"/>
      <c r="R14" s="18"/>
      <c r="S14" s="18"/>
      <c r="T14" s="18"/>
      <c r="U14" s="18">
        <f t="shared" ref="U14:Z14" si="4">U15++U160++U317+U374+U414+U631+U411+U625</f>
        <v>403559610.90999997</v>
      </c>
      <c r="V14" s="18">
        <f t="shared" si="4"/>
        <v>403559610.90999997</v>
      </c>
      <c r="W14" s="18">
        <f t="shared" si="4"/>
        <v>182527605.60410002</v>
      </c>
      <c r="X14" s="18">
        <f t="shared" si="4"/>
        <v>182527605.60410002</v>
      </c>
      <c r="Y14" s="18">
        <f t="shared" si="4"/>
        <v>182527605.60410002</v>
      </c>
      <c r="Z14" s="18">
        <f t="shared" si="4"/>
        <v>182527605.60410002</v>
      </c>
    </row>
    <row r="15" spans="1:34" ht="52.5" customHeight="1">
      <c r="A15" s="1226" t="s">
        <v>20</v>
      </c>
      <c r="B15" s="1227"/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8"/>
      <c r="O15" s="19"/>
      <c r="P15" s="19"/>
      <c r="Q15" s="19"/>
      <c r="R15" s="20" t="e">
        <f>R16+R23+R26+R30+R43+R52+R73+R77+R111+R143</f>
        <v>#REF!</v>
      </c>
      <c r="S15" s="20" t="e">
        <f>S16+S23+S26+S30+S43+S52+S73+S77+S111+S143</f>
        <v>#REF!</v>
      </c>
      <c r="T15" s="20" t="e">
        <f>T16+T23+T26+T30+T43+T52+T73+T77+T111+T143</f>
        <v>#REF!</v>
      </c>
      <c r="U15" s="20">
        <f t="shared" ref="U15:Z15" si="5">U16+U23+U26+U30+U43+U52+U73+U77+U111+U143+U155+U146+U148+U153</f>
        <v>131719330.40000001</v>
      </c>
      <c r="V15" s="20">
        <f t="shared" si="5"/>
        <v>131719330.40000001</v>
      </c>
      <c r="W15" s="20">
        <f t="shared" si="5"/>
        <v>76225633.720000014</v>
      </c>
      <c r="X15" s="20">
        <f t="shared" si="5"/>
        <v>76225633.720000014</v>
      </c>
      <c r="Y15" s="20">
        <f t="shared" si="5"/>
        <v>76765233.720000014</v>
      </c>
      <c r="Z15" s="20">
        <f t="shared" si="5"/>
        <v>76765233.720000014</v>
      </c>
    </row>
    <row r="16" spans="1:34" ht="165.75" customHeight="1">
      <c r="A16" s="21" t="s">
        <v>21</v>
      </c>
      <c r="B16" s="22" t="s">
        <v>22</v>
      </c>
      <c r="C16" s="22" t="s">
        <v>23</v>
      </c>
      <c r="D16" s="22" t="s">
        <v>24</v>
      </c>
      <c r="E16" s="22" t="s">
        <v>25</v>
      </c>
      <c r="F16" s="22" t="s">
        <v>26</v>
      </c>
      <c r="G16" s="22" t="s">
        <v>27</v>
      </c>
      <c r="H16" s="22" t="s">
        <v>28</v>
      </c>
      <c r="I16" s="21" t="s">
        <v>29</v>
      </c>
      <c r="J16" s="23">
        <f>J17+J21+J22</f>
        <v>1600000</v>
      </c>
      <c r="K16" s="24">
        <f>K17+K21+K22</f>
        <v>1200000</v>
      </c>
      <c r="L16" s="25"/>
      <c r="M16" s="26"/>
      <c r="N16" s="27"/>
      <c r="O16" s="28"/>
      <c r="P16" s="28"/>
      <c r="Q16" s="29" t="e">
        <f t="shared" ref="Q16:Z16" si="6">Q17+Q21+Q22</f>
        <v>#REF!</v>
      </c>
      <c r="R16" s="29" t="e">
        <f t="shared" si="6"/>
        <v>#REF!</v>
      </c>
      <c r="S16" s="29" t="e">
        <f t="shared" si="6"/>
        <v>#REF!</v>
      </c>
      <c r="T16" s="29" t="e">
        <f t="shared" si="6"/>
        <v>#REF!</v>
      </c>
      <c r="U16" s="24">
        <f t="shared" si="6"/>
        <v>1600000</v>
      </c>
      <c r="V16" s="24">
        <f t="shared" si="6"/>
        <v>1600000</v>
      </c>
      <c r="W16" s="24">
        <f t="shared" si="6"/>
        <v>800000</v>
      </c>
      <c r="X16" s="24">
        <f t="shared" si="6"/>
        <v>800000</v>
      </c>
      <c r="Y16" s="24">
        <f t="shared" si="6"/>
        <v>800000</v>
      </c>
      <c r="Z16" s="24">
        <f t="shared" si="6"/>
        <v>800000</v>
      </c>
    </row>
    <row r="17" spans="1:32" ht="30" customHeight="1">
      <c r="A17" s="1197" t="s">
        <v>30</v>
      </c>
      <c r="B17" s="1219"/>
      <c r="C17" s="1219"/>
      <c r="D17" s="1219"/>
      <c r="E17" s="1219"/>
      <c r="F17" s="1219"/>
      <c r="G17" s="1219"/>
      <c r="H17" s="1219"/>
      <c r="I17" s="1220" t="s">
        <v>31</v>
      </c>
      <c r="J17" s="1221">
        <v>752970.4</v>
      </c>
      <c r="K17" s="1222">
        <v>550541.57000000007</v>
      </c>
      <c r="L17" s="1208" t="s">
        <v>32</v>
      </c>
      <c r="M17" s="30"/>
      <c r="N17" s="31"/>
      <c r="O17" s="32"/>
      <c r="P17" s="32"/>
      <c r="Q17" s="33">
        <f t="shared" ref="Q17:Z17" si="7">Q18+Q19+Q20</f>
        <v>707940.1100000001</v>
      </c>
      <c r="R17" s="33">
        <f t="shared" si="7"/>
        <v>707940.1100000001</v>
      </c>
      <c r="S17" s="33">
        <f t="shared" si="7"/>
        <v>707940.1100000001</v>
      </c>
      <c r="T17" s="33">
        <f t="shared" si="7"/>
        <v>707940.1100000001</v>
      </c>
      <c r="U17" s="33">
        <f t="shared" si="7"/>
        <v>648426</v>
      </c>
      <c r="V17" s="33">
        <f t="shared" si="7"/>
        <v>648426</v>
      </c>
      <c r="W17" s="33">
        <f t="shared" si="7"/>
        <v>353970.05500000005</v>
      </c>
      <c r="X17" s="33">
        <f t="shared" si="7"/>
        <v>353970.05500000005</v>
      </c>
      <c r="Y17" s="33">
        <f t="shared" si="7"/>
        <v>353970.05500000005</v>
      </c>
      <c r="Z17" s="33">
        <f t="shared" si="7"/>
        <v>353970.05500000005</v>
      </c>
    </row>
    <row r="18" spans="1:32" ht="63.75" customHeight="1">
      <c r="A18" s="1197"/>
      <c r="B18" s="1219"/>
      <c r="C18" s="1219"/>
      <c r="D18" s="1219"/>
      <c r="E18" s="1219"/>
      <c r="F18" s="1219"/>
      <c r="G18" s="1219"/>
      <c r="H18" s="1219"/>
      <c r="I18" s="1220"/>
      <c r="J18" s="1221"/>
      <c r="K18" s="1222"/>
      <c r="L18" s="1208"/>
      <c r="M18" s="34" t="s">
        <v>33</v>
      </c>
      <c r="N18" s="35" t="s">
        <v>34</v>
      </c>
      <c r="O18" s="36">
        <v>81</v>
      </c>
      <c r="P18" s="37">
        <v>2668.57</v>
      </c>
      <c r="Q18" s="38">
        <v>382568.81</v>
      </c>
      <c r="R18" s="38">
        <v>382568.81</v>
      </c>
      <c r="S18" s="38">
        <v>382568.81</v>
      </c>
      <c r="T18" s="38">
        <v>382568.81</v>
      </c>
      <c r="U18" s="38">
        <v>216153.97</v>
      </c>
      <c r="V18" s="38">
        <f>U18</f>
        <v>216153.97</v>
      </c>
      <c r="W18" s="39">
        <v>191284.405</v>
      </c>
      <c r="X18" s="39">
        <v>191284.405</v>
      </c>
      <c r="Y18" s="39">
        <v>191284.405</v>
      </c>
      <c r="Z18" s="40">
        <v>191284.405</v>
      </c>
    </row>
    <row r="19" spans="1:32" ht="65.25" customHeight="1">
      <c r="A19" s="1197"/>
      <c r="B19" s="1219"/>
      <c r="C19" s="1219"/>
      <c r="D19" s="1219"/>
      <c r="E19" s="1219"/>
      <c r="F19" s="1219"/>
      <c r="G19" s="1219"/>
      <c r="H19" s="1219"/>
      <c r="I19" s="1220"/>
      <c r="J19" s="1221"/>
      <c r="K19" s="1222"/>
      <c r="L19" s="1208"/>
      <c r="M19" s="34" t="s">
        <v>35</v>
      </c>
      <c r="N19" s="35" t="s">
        <v>34</v>
      </c>
      <c r="O19" s="36">
        <v>29</v>
      </c>
      <c r="P19" s="37">
        <v>13482.7</v>
      </c>
      <c r="Q19" s="38">
        <v>296592</v>
      </c>
      <c r="R19" s="38">
        <v>296592</v>
      </c>
      <c r="S19" s="38">
        <v>296592</v>
      </c>
      <c r="T19" s="38">
        <v>296592</v>
      </c>
      <c r="U19" s="38">
        <v>390998.4</v>
      </c>
      <c r="V19" s="38">
        <f>U19</f>
        <v>390998.4</v>
      </c>
      <c r="W19" s="39">
        <v>148296</v>
      </c>
      <c r="X19" s="39">
        <v>148296</v>
      </c>
      <c r="Y19" s="39">
        <v>148296</v>
      </c>
      <c r="Z19" s="40">
        <v>148296</v>
      </c>
    </row>
    <row r="20" spans="1:32" ht="47.25" customHeight="1">
      <c r="A20" s="1197"/>
      <c r="B20" s="1219"/>
      <c r="C20" s="1219"/>
      <c r="D20" s="1219"/>
      <c r="E20" s="1219"/>
      <c r="F20" s="1219"/>
      <c r="G20" s="1219"/>
      <c r="H20" s="1219"/>
      <c r="I20" s="1220"/>
      <c r="J20" s="1221"/>
      <c r="K20" s="1222"/>
      <c r="L20" s="1208"/>
      <c r="M20" s="34" t="s">
        <v>36</v>
      </c>
      <c r="N20" s="35" t="s">
        <v>34</v>
      </c>
      <c r="O20" s="36">
        <v>19</v>
      </c>
      <c r="P20" s="37">
        <v>2172.3000000000002</v>
      </c>
      <c r="Q20" s="38">
        <v>28779.3</v>
      </c>
      <c r="R20" s="38">
        <v>28779.3</v>
      </c>
      <c r="S20" s="38">
        <v>28779.3</v>
      </c>
      <c r="T20" s="38">
        <v>28779.3</v>
      </c>
      <c r="U20" s="38">
        <v>41273.629999999997</v>
      </c>
      <c r="V20" s="38">
        <f>U20</f>
        <v>41273.629999999997</v>
      </c>
      <c r="W20" s="39">
        <v>14389.65</v>
      </c>
      <c r="X20" s="39">
        <v>14389.65</v>
      </c>
      <c r="Y20" s="39">
        <v>14389.65</v>
      </c>
      <c r="Z20" s="40">
        <v>14389.65</v>
      </c>
    </row>
    <row r="21" spans="1:32" ht="85.5" customHeight="1">
      <c r="A21" s="1197"/>
      <c r="B21" s="1219"/>
      <c r="C21" s="1219"/>
      <c r="D21" s="1219"/>
      <c r="E21" s="1219"/>
      <c r="F21" s="1219"/>
      <c r="G21" s="1219"/>
      <c r="H21" s="1219"/>
      <c r="I21" s="41" t="s">
        <v>37</v>
      </c>
      <c r="J21" s="42">
        <v>87600</v>
      </c>
      <c r="K21" s="33">
        <v>90087</v>
      </c>
      <c r="L21" s="43" t="s">
        <v>38</v>
      </c>
      <c r="M21" s="44" t="s">
        <v>39</v>
      </c>
      <c r="N21" s="35"/>
      <c r="O21" s="45"/>
      <c r="P21" s="36"/>
      <c r="Q21" s="38">
        <v>90087</v>
      </c>
      <c r="R21" s="38">
        <v>90087</v>
      </c>
      <c r="S21" s="38">
        <v>90087</v>
      </c>
      <c r="T21" s="38">
        <v>90087</v>
      </c>
      <c r="U21" s="38">
        <v>213613.38</v>
      </c>
      <c r="V21" s="38">
        <f>U21</f>
        <v>213613.38</v>
      </c>
      <c r="W21" s="39">
        <v>45043.5</v>
      </c>
      <c r="X21" s="39">
        <v>45043.5</v>
      </c>
      <c r="Y21" s="39">
        <v>45043.5</v>
      </c>
      <c r="Z21" s="40">
        <v>45043.5</v>
      </c>
    </row>
    <row r="22" spans="1:32" ht="232.5" customHeight="1">
      <c r="A22" s="1197"/>
      <c r="B22" s="1219"/>
      <c r="C22" s="1219"/>
      <c r="D22" s="1219"/>
      <c r="E22" s="1219"/>
      <c r="F22" s="1219"/>
      <c r="G22" s="1219"/>
      <c r="H22" s="1219"/>
      <c r="I22" s="41" t="s">
        <v>40</v>
      </c>
      <c r="J22" s="46">
        <v>759429.6</v>
      </c>
      <c r="K22" s="47">
        <v>559371.43000000005</v>
      </c>
      <c r="L22" s="48" t="s">
        <v>41</v>
      </c>
      <c r="M22" s="44" t="s">
        <v>42</v>
      </c>
      <c r="N22" s="31"/>
      <c r="O22" s="49"/>
      <c r="P22" s="49"/>
      <c r="Q22" s="33" t="e">
        <f>#REF!+#REF!+#REF!</f>
        <v>#REF!</v>
      </c>
      <c r="R22" s="33" t="e">
        <f>#REF!+#REF!+#REF!</f>
        <v>#REF!</v>
      </c>
      <c r="S22" s="33" t="e">
        <f>#REF!+#REF!+#REF!</f>
        <v>#REF!</v>
      </c>
      <c r="T22" s="33" t="e">
        <f>#REF!+#REF!+#REF!</f>
        <v>#REF!</v>
      </c>
      <c r="U22" s="40">
        <v>737960.62</v>
      </c>
      <c r="V22" s="40">
        <v>737960.62</v>
      </c>
      <c r="W22" s="40">
        <v>400986.44500000001</v>
      </c>
      <c r="X22" s="40">
        <v>400986.44500000001</v>
      </c>
      <c r="Y22" s="40">
        <v>400986.44500000001</v>
      </c>
      <c r="Z22" s="40">
        <v>400986.44500000001</v>
      </c>
      <c r="AE22" s="7">
        <v>400986.44500000001</v>
      </c>
      <c r="AF22" s="7">
        <v>400986.44500000001</v>
      </c>
    </row>
    <row r="23" spans="1:32" ht="168" customHeight="1">
      <c r="A23" s="21" t="s">
        <v>43</v>
      </c>
      <c r="B23" s="22" t="s">
        <v>22</v>
      </c>
      <c r="C23" s="22" t="s">
        <v>23</v>
      </c>
      <c r="D23" s="22" t="s">
        <v>24</v>
      </c>
      <c r="E23" s="22" t="s">
        <v>25</v>
      </c>
      <c r="F23" s="22" t="s">
        <v>44</v>
      </c>
      <c r="G23" s="22" t="s">
        <v>45</v>
      </c>
      <c r="H23" s="22" t="s">
        <v>28</v>
      </c>
      <c r="I23" s="50" t="s">
        <v>46</v>
      </c>
      <c r="J23" s="23">
        <f>J24+J25</f>
        <v>30336170.280000001</v>
      </c>
      <c r="K23" s="24">
        <f>K24+K25</f>
        <v>72381614.480000004</v>
      </c>
      <c r="L23" s="51"/>
      <c r="M23" s="26"/>
      <c r="N23" s="27"/>
      <c r="O23" s="28"/>
      <c r="P23" s="28"/>
      <c r="Q23" s="29" t="e">
        <f t="shared" ref="Q23:Z23" si="8">Q24+Q25</f>
        <v>#REF!</v>
      </c>
      <c r="R23" s="29" t="e">
        <f t="shared" si="8"/>
        <v>#REF!</v>
      </c>
      <c r="S23" s="29" t="e">
        <f t="shared" si="8"/>
        <v>#REF!</v>
      </c>
      <c r="T23" s="29" t="e">
        <f t="shared" si="8"/>
        <v>#REF!</v>
      </c>
      <c r="U23" s="24">
        <f t="shared" si="8"/>
        <v>72381614.480000004</v>
      </c>
      <c r="V23" s="24">
        <f t="shared" si="8"/>
        <v>72381614.480000004</v>
      </c>
      <c r="W23" s="24">
        <f t="shared" si="8"/>
        <v>36190807.240000002</v>
      </c>
      <c r="X23" s="24">
        <f t="shared" si="8"/>
        <v>36190807.240000002</v>
      </c>
      <c r="Y23" s="24">
        <f t="shared" si="8"/>
        <v>36190807.240000002</v>
      </c>
      <c r="Z23" s="24">
        <f t="shared" si="8"/>
        <v>36190807.240000002</v>
      </c>
    </row>
    <row r="24" spans="1:32" ht="90.75" customHeight="1">
      <c r="A24" s="52" t="s">
        <v>47</v>
      </c>
      <c r="B24" s="1209"/>
      <c r="C24" s="1210"/>
      <c r="D24" s="1210"/>
      <c r="E24" s="1210"/>
      <c r="F24" s="1210"/>
      <c r="G24" s="1210"/>
      <c r="H24" s="1211"/>
      <c r="I24" s="1215" t="s">
        <v>48</v>
      </c>
      <c r="J24" s="53">
        <f>29451930.28-63760</f>
        <v>29388170.280000001</v>
      </c>
      <c r="K24" s="53">
        <v>71763232.480000004</v>
      </c>
      <c r="L24" s="54" t="s">
        <v>49</v>
      </c>
      <c r="M24" s="44" t="s">
        <v>42</v>
      </c>
      <c r="N24" s="55" t="s">
        <v>50</v>
      </c>
      <c r="O24" s="56" t="e">
        <f>#REF!+#REF!+#REF!+#REF!+#REF!+#REF!+#REF!</f>
        <v>#REF!</v>
      </c>
      <c r="P24" s="57" t="e">
        <f>Q24/O24</f>
        <v>#REF!</v>
      </c>
      <c r="Q24" s="58" t="e">
        <f>#REF!+#REF!+#REF!+#REF!+#REF!+#REF!+#REF!</f>
        <v>#REF!</v>
      </c>
      <c r="R24" s="58" t="e">
        <f>SUM(#REF!)</f>
        <v>#REF!</v>
      </c>
      <c r="S24" s="58" t="e">
        <f>SUM(#REF!)</f>
        <v>#REF!</v>
      </c>
      <c r="T24" s="58" t="e">
        <f>SUM(#REF!)</f>
        <v>#REF!</v>
      </c>
      <c r="U24" s="39">
        <v>71763232.480000004</v>
      </c>
      <c r="V24" s="39">
        <v>71763232.480000004</v>
      </c>
      <c r="W24" s="39">
        <v>35881616.240000002</v>
      </c>
      <c r="X24" s="39">
        <v>35881616.240000002</v>
      </c>
      <c r="Y24" s="39">
        <v>35881616.240000002</v>
      </c>
      <c r="Z24" s="39">
        <v>35881616.240000002</v>
      </c>
    </row>
    <row r="25" spans="1:32" ht="74.25" customHeight="1">
      <c r="A25" s="52" t="s">
        <v>51</v>
      </c>
      <c r="B25" s="1212"/>
      <c r="C25" s="1213"/>
      <c r="D25" s="1213"/>
      <c r="E25" s="1213"/>
      <c r="F25" s="1213"/>
      <c r="G25" s="1213"/>
      <c r="H25" s="1214"/>
      <c r="I25" s="1216"/>
      <c r="J25" s="59">
        <f>948000</f>
        <v>948000</v>
      </c>
      <c r="K25" s="60">
        <v>618382</v>
      </c>
      <c r="L25" s="54" t="s">
        <v>49</v>
      </c>
      <c r="M25" s="44" t="s">
        <v>42</v>
      </c>
      <c r="N25" s="61" t="s">
        <v>50</v>
      </c>
      <c r="O25" s="62">
        <v>2635</v>
      </c>
      <c r="P25" s="63" t="e">
        <f>Q25/O25</f>
        <v>#REF!</v>
      </c>
      <c r="Q25" s="64" t="e">
        <f>SUM(#REF!)</f>
        <v>#REF!</v>
      </c>
      <c r="R25" s="65" t="e">
        <f>Q25</f>
        <v>#REF!</v>
      </c>
      <c r="S25" s="65" t="e">
        <f>Q25</f>
        <v>#REF!</v>
      </c>
      <c r="T25" s="65" t="e">
        <f>Q25</f>
        <v>#REF!</v>
      </c>
      <c r="U25" s="66">
        <v>618382</v>
      </c>
      <c r="V25" s="66">
        <v>618382</v>
      </c>
      <c r="W25" s="66">
        <v>309191</v>
      </c>
      <c r="X25" s="66">
        <v>309191</v>
      </c>
      <c r="Y25" s="66">
        <v>309191</v>
      </c>
      <c r="Z25" s="66">
        <v>309191</v>
      </c>
      <c r="AA25" s="905"/>
    </row>
    <row r="26" spans="1:32" ht="181.5" customHeight="1">
      <c r="A26" s="67" t="s">
        <v>52</v>
      </c>
      <c r="B26" s="68" t="s">
        <v>22</v>
      </c>
      <c r="C26" s="68" t="s">
        <v>23</v>
      </c>
      <c r="D26" s="68" t="s">
        <v>53</v>
      </c>
      <c r="E26" s="68" t="s">
        <v>25</v>
      </c>
      <c r="F26" s="68" t="s">
        <v>54</v>
      </c>
      <c r="G26" s="68" t="s">
        <v>55</v>
      </c>
      <c r="H26" s="68" t="s">
        <v>28</v>
      </c>
      <c r="I26" s="50" t="s">
        <v>56</v>
      </c>
      <c r="J26" s="69">
        <f>J27</f>
        <v>0</v>
      </c>
      <c r="K26" s="23">
        <v>150000</v>
      </c>
      <c r="L26" s="70"/>
      <c r="M26" s="71"/>
      <c r="N26" s="72"/>
      <c r="O26" s="73">
        <f>O27+O28+O29</f>
        <v>240</v>
      </c>
      <c r="P26" s="73"/>
      <c r="Q26" s="73">
        <f t="shared" ref="Q26:Z26" si="9">Q27+Q28+Q29</f>
        <v>264296</v>
      </c>
      <c r="R26" s="73">
        <f t="shared" si="9"/>
        <v>264296</v>
      </c>
      <c r="S26" s="73">
        <f t="shared" si="9"/>
        <v>264296</v>
      </c>
      <c r="T26" s="73">
        <f t="shared" si="9"/>
        <v>264296</v>
      </c>
      <c r="U26" s="23">
        <f t="shared" si="9"/>
        <v>200000</v>
      </c>
      <c r="V26" s="23">
        <f t="shared" si="9"/>
        <v>200000</v>
      </c>
      <c r="W26" s="23">
        <f t="shared" si="9"/>
        <v>100000</v>
      </c>
      <c r="X26" s="23">
        <f t="shared" si="9"/>
        <v>100000</v>
      </c>
      <c r="Y26" s="23">
        <f t="shared" si="9"/>
        <v>100000</v>
      </c>
      <c r="Z26" s="23">
        <f t="shared" si="9"/>
        <v>100000</v>
      </c>
    </row>
    <row r="27" spans="1:32" ht="151.5" customHeight="1">
      <c r="A27" s="1193" t="s">
        <v>57</v>
      </c>
      <c r="B27" s="1217"/>
      <c r="C27" s="1217"/>
      <c r="D27" s="1217"/>
      <c r="E27" s="1217"/>
      <c r="F27" s="1217"/>
      <c r="G27" s="1217"/>
      <c r="H27" s="1217"/>
      <c r="I27" s="1218" t="s">
        <v>58</v>
      </c>
      <c r="J27" s="1108">
        <v>0</v>
      </c>
      <c r="K27" s="1203">
        <v>150000</v>
      </c>
      <c r="L27" s="1204" t="s">
        <v>49</v>
      </c>
      <c r="M27" s="74" t="s">
        <v>59</v>
      </c>
      <c r="N27" s="35" t="s">
        <v>60</v>
      </c>
      <c r="O27" s="75">
        <v>10</v>
      </c>
      <c r="P27" s="75">
        <v>4282</v>
      </c>
      <c r="Q27" s="76">
        <f>ROUND(P27*O27,0)</f>
        <v>42820</v>
      </c>
      <c r="R27" s="77">
        <v>42820</v>
      </c>
      <c r="S27" s="77">
        <v>42820</v>
      </c>
      <c r="T27" s="77">
        <v>42820</v>
      </c>
      <c r="U27" s="39">
        <v>34256</v>
      </c>
      <c r="V27" s="39">
        <f>U27</f>
        <v>34256</v>
      </c>
      <c r="W27" s="39">
        <f>U27/2</f>
        <v>17128</v>
      </c>
      <c r="X27" s="39">
        <f>W27</f>
        <v>17128</v>
      </c>
      <c r="Y27" s="39">
        <f>U27/2</f>
        <v>17128</v>
      </c>
      <c r="Z27" s="40">
        <f>Y27</f>
        <v>17128</v>
      </c>
    </row>
    <row r="28" spans="1:32" ht="105.75" customHeight="1">
      <c r="A28" s="1193"/>
      <c r="B28" s="1201"/>
      <c r="C28" s="1201"/>
      <c r="D28" s="1201"/>
      <c r="E28" s="1201"/>
      <c r="F28" s="1201"/>
      <c r="G28" s="1201"/>
      <c r="H28" s="1201"/>
      <c r="I28" s="1218"/>
      <c r="J28" s="1108"/>
      <c r="K28" s="1203"/>
      <c r="L28" s="1204"/>
      <c r="M28" s="74" t="s">
        <v>61</v>
      </c>
      <c r="N28" s="35" t="s">
        <v>60</v>
      </c>
      <c r="O28" s="75">
        <v>150</v>
      </c>
      <c r="P28" s="75">
        <v>784.9</v>
      </c>
      <c r="Q28" s="76">
        <f>ROUND(P28*O28,0)</f>
        <v>117735</v>
      </c>
      <c r="R28" s="77">
        <v>117735</v>
      </c>
      <c r="S28" s="77">
        <v>117735</v>
      </c>
      <c r="T28" s="77">
        <v>117735</v>
      </c>
      <c r="U28" s="39">
        <v>87938.4</v>
      </c>
      <c r="V28" s="39">
        <f>U28</f>
        <v>87938.4</v>
      </c>
      <c r="W28" s="39">
        <f>U28/2</f>
        <v>43969.2</v>
      </c>
      <c r="X28" s="39">
        <f>W28</f>
        <v>43969.2</v>
      </c>
      <c r="Y28" s="39">
        <f>U28/2</f>
        <v>43969.2</v>
      </c>
      <c r="Z28" s="40">
        <f>Y28</f>
        <v>43969.2</v>
      </c>
    </row>
    <row r="29" spans="1:32" ht="140.25" customHeight="1">
      <c r="A29" s="1193"/>
      <c r="B29" s="1201"/>
      <c r="C29" s="1201"/>
      <c r="D29" s="1201"/>
      <c r="E29" s="1201"/>
      <c r="F29" s="1201"/>
      <c r="G29" s="1201"/>
      <c r="H29" s="1201"/>
      <c r="I29" s="1218"/>
      <c r="J29" s="1108"/>
      <c r="K29" s="1203"/>
      <c r="L29" s="1204"/>
      <c r="M29" s="74" t="s">
        <v>62</v>
      </c>
      <c r="N29" s="35" t="s">
        <v>60</v>
      </c>
      <c r="O29" s="75">
        <v>80</v>
      </c>
      <c r="P29" s="75">
        <v>1296.76</v>
      </c>
      <c r="Q29" s="76">
        <f>ROUND(P29*O29,0)</f>
        <v>103741</v>
      </c>
      <c r="R29" s="77">
        <v>103741</v>
      </c>
      <c r="S29" s="77">
        <v>103741</v>
      </c>
      <c r="T29" s="77">
        <v>103741</v>
      </c>
      <c r="U29" s="39">
        <v>77805.600000000006</v>
      </c>
      <c r="V29" s="39">
        <f>U29</f>
        <v>77805.600000000006</v>
      </c>
      <c r="W29" s="39">
        <f>U29/2</f>
        <v>38902.800000000003</v>
      </c>
      <c r="X29" s="39">
        <f>W29</f>
        <v>38902.800000000003</v>
      </c>
      <c r="Y29" s="39">
        <f>U29/2</f>
        <v>38902.800000000003</v>
      </c>
      <c r="Z29" s="40">
        <f>Y29</f>
        <v>38902.800000000003</v>
      </c>
    </row>
    <row r="30" spans="1:32" ht="164.25" customHeight="1">
      <c r="A30" s="67" t="s">
        <v>63</v>
      </c>
      <c r="B30" s="68" t="s">
        <v>22</v>
      </c>
      <c r="C30" s="68" t="s">
        <v>23</v>
      </c>
      <c r="D30" s="68" t="s">
        <v>53</v>
      </c>
      <c r="E30" s="68" t="s">
        <v>25</v>
      </c>
      <c r="F30" s="68" t="s">
        <v>64</v>
      </c>
      <c r="G30" s="68" t="s">
        <v>65</v>
      </c>
      <c r="H30" s="68" t="s">
        <v>28</v>
      </c>
      <c r="I30" s="50" t="s">
        <v>66</v>
      </c>
      <c r="J30" s="69">
        <f>J31+J32+J33+J34+J37+J38</f>
        <v>800000</v>
      </c>
      <c r="K30" s="24">
        <f>K31+K32+K33+K34+K37+K38</f>
        <v>1650000</v>
      </c>
      <c r="L30" s="51"/>
      <c r="M30" s="26"/>
      <c r="N30" s="27"/>
      <c r="O30" s="28"/>
      <c r="P30" s="28"/>
      <c r="Q30" s="29" t="e">
        <f>Q31+Q32+Q33+Q34+Q37+Q38</f>
        <v>#REF!</v>
      </c>
      <c r="R30" s="29" t="e">
        <f>R31+R32+R33+R34+R37+R38</f>
        <v>#REF!</v>
      </c>
      <c r="S30" s="29" t="e">
        <f>S31+S32+S33+S34+S37+S38</f>
        <v>#REF!</v>
      </c>
      <c r="T30" s="29" t="e">
        <f>T31+T32+T33+T34+T37+T38</f>
        <v>#REF!</v>
      </c>
      <c r="U30" s="24">
        <f t="shared" ref="U30:Z30" si="10">U31+U32+U33+U34+U37+U38+U35+U36</f>
        <v>1650000</v>
      </c>
      <c r="V30" s="24">
        <f t="shared" si="10"/>
        <v>1650000</v>
      </c>
      <c r="W30" s="24">
        <f t="shared" si="10"/>
        <v>825000</v>
      </c>
      <c r="X30" s="24">
        <f t="shared" si="10"/>
        <v>825000</v>
      </c>
      <c r="Y30" s="24">
        <f t="shared" si="10"/>
        <v>825000</v>
      </c>
      <c r="Z30" s="24">
        <f t="shared" si="10"/>
        <v>825000</v>
      </c>
    </row>
    <row r="31" spans="1:32" ht="50.25" customHeight="1">
      <c r="A31" s="1197" t="s">
        <v>67</v>
      </c>
      <c r="B31" s="1205"/>
      <c r="C31" s="1205"/>
      <c r="D31" s="1205"/>
      <c r="E31" s="1205"/>
      <c r="F31" s="1205"/>
      <c r="G31" s="1205"/>
      <c r="H31" s="1205"/>
      <c r="I31" s="1195" t="s">
        <v>68</v>
      </c>
      <c r="J31" s="78">
        <v>150000</v>
      </c>
      <c r="K31" s="79">
        <v>140000</v>
      </c>
      <c r="L31" s="43">
        <v>226</v>
      </c>
      <c r="M31" s="44" t="s">
        <v>69</v>
      </c>
      <c r="N31" s="80" t="s">
        <v>70</v>
      </c>
      <c r="O31" s="81">
        <v>110</v>
      </c>
      <c r="P31" s="82">
        <v>1500</v>
      </c>
      <c r="Q31" s="82">
        <v>165000</v>
      </c>
      <c r="R31" s="82">
        <v>165000</v>
      </c>
      <c r="S31" s="82">
        <v>165000</v>
      </c>
      <c r="T31" s="82">
        <v>165000</v>
      </c>
      <c r="U31" s="82">
        <v>165000</v>
      </c>
      <c r="V31" s="82">
        <f>U31</f>
        <v>165000</v>
      </c>
      <c r="W31" s="83">
        <f t="shared" ref="W31:W37" si="11">U31/2</f>
        <v>82500</v>
      </c>
      <c r="X31" s="83">
        <f>W31</f>
        <v>82500</v>
      </c>
      <c r="Y31" s="83">
        <f t="shared" ref="Y31:Y37" si="12">U31/2</f>
        <v>82500</v>
      </c>
      <c r="Z31" s="40">
        <f>Y31</f>
        <v>82500</v>
      </c>
    </row>
    <row r="32" spans="1:32" ht="75" customHeight="1">
      <c r="A32" s="1197"/>
      <c r="B32" s="1205"/>
      <c r="C32" s="1205"/>
      <c r="D32" s="1205"/>
      <c r="E32" s="1205"/>
      <c r="F32" s="1205"/>
      <c r="G32" s="1205"/>
      <c r="H32" s="1205"/>
      <c r="I32" s="1195"/>
      <c r="J32" s="78">
        <v>13862.24</v>
      </c>
      <c r="K32" s="79">
        <v>39900</v>
      </c>
      <c r="L32" s="43">
        <v>226</v>
      </c>
      <c r="M32" s="44" t="s">
        <v>71</v>
      </c>
      <c r="N32" s="80" t="s">
        <v>70</v>
      </c>
      <c r="O32" s="81">
        <v>150</v>
      </c>
      <c r="P32" s="82">
        <v>260</v>
      </c>
      <c r="Q32" s="82">
        <v>39000</v>
      </c>
      <c r="R32" s="82">
        <v>39000</v>
      </c>
      <c r="S32" s="82">
        <v>39000</v>
      </c>
      <c r="T32" s="82">
        <v>39000</v>
      </c>
      <c r="U32" s="82">
        <v>39900</v>
      </c>
      <c r="V32" s="82">
        <f t="shared" ref="V32:V37" si="13">U32</f>
        <v>39900</v>
      </c>
      <c r="W32" s="83">
        <f t="shared" si="11"/>
        <v>19950</v>
      </c>
      <c r="X32" s="83">
        <f t="shared" ref="X32:X37" si="14">W32</f>
        <v>19950</v>
      </c>
      <c r="Y32" s="83">
        <f t="shared" si="12"/>
        <v>19950</v>
      </c>
      <c r="Z32" s="40">
        <f t="shared" ref="Z32:Z37" si="15">Y32</f>
        <v>19950</v>
      </c>
    </row>
    <row r="33" spans="1:30" ht="117.75" customHeight="1">
      <c r="A33" s="1197"/>
      <c r="B33" s="1205"/>
      <c r="C33" s="1205"/>
      <c r="D33" s="1205"/>
      <c r="E33" s="1205"/>
      <c r="F33" s="1205"/>
      <c r="G33" s="1205"/>
      <c r="H33" s="1205"/>
      <c r="I33" s="84" t="s">
        <v>72</v>
      </c>
      <c r="J33" s="78">
        <v>50000</v>
      </c>
      <c r="K33" s="79">
        <v>30000</v>
      </c>
      <c r="L33" s="85">
        <v>226</v>
      </c>
      <c r="M33" s="44" t="s">
        <v>73</v>
      </c>
      <c r="N33" s="80" t="s">
        <v>70</v>
      </c>
      <c r="O33" s="81">
        <v>4</v>
      </c>
      <c r="P33" s="82">
        <v>25000</v>
      </c>
      <c r="Q33" s="82">
        <v>100000</v>
      </c>
      <c r="R33" s="82">
        <v>100000</v>
      </c>
      <c r="S33" s="82">
        <v>100000</v>
      </c>
      <c r="T33" s="82">
        <v>100000</v>
      </c>
      <c r="U33" s="82">
        <v>69000</v>
      </c>
      <c r="V33" s="82">
        <f t="shared" si="13"/>
        <v>69000</v>
      </c>
      <c r="W33" s="83">
        <f t="shared" si="11"/>
        <v>34500</v>
      </c>
      <c r="X33" s="83">
        <f t="shared" si="14"/>
        <v>34500</v>
      </c>
      <c r="Y33" s="83">
        <f t="shared" si="12"/>
        <v>34500</v>
      </c>
      <c r="Z33" s="40">
        <f t="shared" si="15"/>
        <v>34500</v>
      </c>
    </row>
    <row r="34" spans="1:30" ht="138" customHeight="1">
      <c r="A34" s="1197"/>
      <c r="B34" s="1205"/>
      <c r="C34" s="1205"/>
      <c r="D34" s="1205"/>
      <c r="E34" s="1205"/>
      <c r="F34" s="1205"/>
      <c r="G34" s="1205"/>
      <c r="H34" s="1205"/>
      <c r="I34" s="84" t="s">
        <v>74</v>
      </c>
      <c r="J34" s="78">
        <v>166137.76</v>
      </c>
      <c r="K34" s="86">
        <v>899140</v>
      </c>
      <c r="L34" s="87" t="s">
        <v>32</v>
      </c>
      <c r="M34" s="44" t="s">
        <v>75</v>
      </c>
      <c r="N34" s="35" t="s">
        <v>50</v>
      </c>
      <c r="O34" s="88" t="e">
        <f>SUM(#REF!)</f>
        <v>#REF!</v>
      </c>
      <c r="P34" s="88" t="e">
        <f>Q34/O34</f>
        <v>#REF!</v>
      </c>
      <c r="Q34" s="88" t="e">
        <f>SUM(#REF!)</f>
        <v>#REF!</v>
      </c>
      <c r="R34" s="88" t="e">
        <f>SUM(#REF!)</f>
        <v>#REF!</v>
      </c>
      <c r="S34" s="88" t="e">
        <f>SUM(#REF!)</f>
        <v>#REF!</v>
      </c>
      <c r="T34" s="88" t="e">
        <f>SUM(#REF!)</f>
        <v>#REF!</v>
      </c>
      <c r="U34" s="88">
        <v>813100</v>
      </c>
      <c r="V34" s="82">
        <f t="shared" si="13"/>
        <v>813100</v>
      </c>
      <c r="W34" s="88">
        <f t="shared" si="11"/>
        <v>406550</v>
      </c>
      <c r="X34" s="83">
        <f t="shared" si="14"/>
        <v>406550</v>
      </c>
      <c r="Y34" s="88">
        <f t="shared" si="12"/>
        <v>406550</v>
      </c>
      <c r="Z34" s="40">
        <f t="shared" si="15"/>
        <v>406550</v>
      </c>
      <c r="AA34" s="906"/>
      <c r="AC34" s="906"/>
    </row>
    <row r="35" spans="1:30" ht="108.75" customHeight="1">
      <c r="A35" s="1197"/>
      <c r="B35" s="1205"/>
      <c r="C35" s="1205"/>
      <c r="D35" s="1205"/>
      <c r="E35" s="1205"/>
      <c r="F35" s="1205"/>
      <c r="G35" s="1205"/>
      <c r="H35" s="1205"/>
      <c r="I35" s="1195" t="s">
        <v>76</v>
      </c>
      <c r="J35" s="78"/>
      <c r="K35" s="86"/>
      <c r="L35" s="87" t="s">
        <v>77</v>
      </c>
      <c r="M35" s="44" t="s">
        <v>78</v>
      </c>
      <c r="N35" s="35"/>
      <c r="O35" s="88"/>
      <c r="P35" s="88"/>
      <c r="Q35" s="88"/>
      <c r="R35" s="88"/>
      <c r="S35" s="88"/>
      <c r="T35" s="88"/>
      <c r="U35" s="88">
        <v>200000</v>
      </c>
      <c r="V35" s="82">
        <f t="shared" si="13"/>
        <v>200000</v>
      </c>
      <c r="W35" s="88">
        <f t="shared" si="11"/>
        <v>100000</v>
      </c>
      <c r="X35" s="83">
        <f t="shared" si="14"/>
        <v>100000</v>
      </c>
      <c r="Y35" s="88">
        <f t="shared" si="12"/>
        <v>100000</v>
      </c>
      <c r="Z35" s="40">
        <f t="shared" si="15"/>
        <v>100000</v>
      </c>
      <c r="AA35" s="906"/>
      <c r="AC35" s="906"/>
    </row>
    <row r="36" spans="1:30" ht="100.5" customHeight="1">
      <c r="A36" s="1197"/>
      <c r="B36" s="1205"/>
      <c r="C36" s="1205"/>
      <c r="D36" s="1205"/>
      <c r="E36" s="1205"/>
      <c r="F36" s="1205"/>
      <c r="G36" s="1205"/>
      <c r="H36" s="1205"/>
      <c r="I36" s="1195"/>
      <c r="J36" s="78"/>
      <c r="K36" s="86"/>
      <c r="L36" s="87" t="s">
        <v>79</v>
      </c>
      <c r="M36" s="44" t="s">
        <v>80</v>
      </c>
      <c r="N36" s="35"/>
      <c r="O36" s="88"/>
      <c r="P36" s="88"/>
      <c r="Q36" s="88"/>
      <c r="R36" s="88"/>
      <c r="S36" s="88"/>
      <c r="T36" s="88"/>
      <c r="U36" s="88">
        <v>100000</v>
      </c>
      <c r="V36" s="82">
        <f t="shared" si="13"/>
        <v>100000</v>
      </c>
      <c r="W36" s="88">
        <f t="shared" si="11"/>
        <v>50000</v>
      </c>
      <c r="X36" s="83">
        <f t="shared" si="14"/>
        <v>50000</v>
      </c>
      <c r="Y36" s="88">
        <f t="shared" si="12"/>
        <v>50000</v>
      </c>
      <c r="Z36" s="40">
        <f t="shared" si="15"/>
        <v>50000</v>
      </c>
      <c r="AA36" s="906"/>
      <c r="AC36" s="906"/>
    </row>
    <row r="37" spans="1:30" ht="162" customHeight="1">
      <c r="A37" s="1197"/>
      <c r="B37" s="1205"/>
      <c r="C37" s="1205"/>
      <c r="D37" s="1205"/>
      <c r="E37" s="1205"/>
      <c r="F37" s="1205"/>
      <c r="G37" s="1205"/>
      <c r="H37" s="1205"/>
      <c r="I37" s="84" t="s">
        <v>81</v>
      </c>
      <c r="J37" s="78">
        <v>50000</v>
      </c>
      <c r="K37" s="79">
        <v>40960</v>
      </c>
      <c r="L37" s="87">
        <v>222</v>
      </c>
      <c r="M37" s="44" t="s">
        <v>82</v>
      </c>
      <c r="N37" s="35" t="s">
        <v>70</v>
      </c>
      <c r="O37" s="89">
        <v>20</v>
      </c>
      <c r="P37" s="88">
        <v>3250</v>
      </c>
      <c r="Q37" s="88">
        <v>65000</v>
      </c>
      <c r="R37" s="88">
        <v>65000</v>
      </c>
      <c r="S37" s="88">
        <v>65000</v>
      </c>
      <c r="T37" s="88">
        <v>65000</v>
      </c>
      <c r="U37" s="88">
        <v>65000</v>
      </c>
      <c r="V37" s="82">
        <f t="shared" si="13"/>
        <v>65000</v>
      </c>
      <c r="W37" s="83">
        <f t="shared" si="11"/>
        <v>32500</v>
      </c>
      <c r="X37" s="83">
        <f t="shared" si="14"/>
        <v>32500</v>
      </c>
      <c r="Y37" s="83">
        <f t="shared" si="12"/>
        <v>32500</v>
      </c>
      <c r="Z37" s="40">
        <f t="shared" si="15"/>
        <v>32500</v>
      </c>
    </row>
    <row r="38" spans="1:30" ht="55.5" customHeight="1">
      <c r="A38" s="1197"/>
      <c r="B38" s="1205"/>
      <c r="C38" s="1205"/>
      <c r="D38" s="1205"/>
      <c r="E38" s="1205"/>
      <c r="F38" s="1205"/>
      <c r="G38" s="1205"/>
      <c r="H38" s="1205"/>
      <c r="I38" s="1197" t="s">
        <v>83</v>
      </c>
      <c r="J38" s="1206">
        <v>370000</v>
      </c>
      <c r="K38" s="1207">
        <v>500000</v>
      </c>
      <c r="L38" s="1208" t="s">
        <v>84</v>
      </c>
      <c r="M38" s="44" t="s">
        <v>85</v>
      </c>
      <c r="N38" s="80" t="s">
        <v>70</v>
      </c>
      <c r="O38" s="90">
        <f>SUM(O39:O42)</f>
        <v>4</v>
      </c>
      <c r="P38" s="90">
        <v>188157</v>
      </c>
      <c r="Q38" s="90">
        <f>SUM(Q39:Q42)</f>
        <v>330000</v>
      </c>
      <c r="R38" s="90">
        <f>SUM(R39:R42)</f>
        <v>330000</v>
      </c>
      <c r="S38" s="90">
        <f>SUM(S39:S42)</f>
        <v>330000</v>
      </c>
      <c r="T38" s="90">
        <f>SUM(T39:T42)</f>
        <v>330000</v>
      </c>
      <c r="U38" s="88">
        <f t="shared" ref="U38:Z38" si="16">U39+U40+U41+U42</f>
        <v>198000</v>
      </c>
      <c r="V38" s="88">
        <f t="shared" si="16"/>
        <v>198000</v>
      </c>
      <c r="W38" s="88">
        <f t="shared" si="16"/>
        <v>99000</v>
      </c>
      <c r="X38" s="88">
        <f t="shared" si="16"/>
        <v>99000</v>
      </c>
      <c r="Y38" s="88">
        <f t="shared" si="16"/>
        <v>99000</v>
      </c>
      <c r="Z38" s="88">
        <f t="shared" si="16"/>
        <v>99000</v>
      </c>
    </row>
    <row r="39" spans="1:30" ht="58.5" customHeight="1">
      <c r="A39" s="1067"/>
      <c r="B39" s="977"/>
      <c r="C39" s="977"/>
      <c r="D39" s="977"/>
      <c r="E39" s="977"/>
      <c r="F39" s="977"/>
      <c r="G39" s="977"/>
      <c r="H39" s="977"/>
      <c r="I39" s="1197"/>
      <c r="J39" s="1206"/>
      <c r="K39" s="1207"/>
      <c r="L39" s="1208"/>
      <c r="M39" s="44" t="s">
        <v>86</v>
      </c>
      <c r="N39" s="80" t="s">
        <v>70</v>
      </c>
      <c r="O39" s="91">
        <v>1</v>
      </c>
      <c r="P39" s="91">
        <v>80000</v>
      </c>
      <c r="Q39" s="76">
        <f>ROUND(P39*O39,0)</f>
        <v>80000</v>
      </c>
      <c r="R39" s="82">
        <v>80000</v>
      </c>
      <c r="S39" s="82">
        <v>80000</v>
      </c>
      <c r="T39" s="82">
        <v>80000</v>
      </c>
      <c r="U39" s="92">
        <v>70000</v>
      </c>
      <c r="V39" s="92">
        <f>U39</f>
        <v>70000</v>
      </c>
      <c r="W39" s="83">
        <v>0</v>
      </c>
      <c r="X39" s="83">
        <f>W39</f>
        <v>0</v>
      </c>
      <c r="Y39" s="83">
        <v>0</v>
      </c>
      <c r="Z39" s="40">
        <f>Y39</f>
        <v>0</v>
      </c>
    </row>
    <row r="40" spans="1:30" ht="32.25" customHeight="1">
      <c r="A40" s="1067"/>
      <c r="B40" s="977"/>
      <c r="C40" s="977"/>
      <c r="D40" s="977"/>
      <c r="E40" s="977"/>
      <c r="F40" s="977"/>
      <c r="G40" s="977"/>
      <c r="H40" s="977"/>
      <c r="I40" s="1197"/>
      <c r="J40" s="1206"/>
      <c r="K40" s="1207"/>
      <c r="L40" s="1208"/>
      <c r="M40" s="44" t="s">
        <v>87</v>
      </c>
      <c r="N40" s="80" t="s">
        <v>70</v>
      </c>
      <c r="O40" s="91">
        <v>1</v>
      </c>
      <c r="P40" s="91">
        <v>150000</v>
      </c>
      <c r="Q40" s="76">
        <f>ROUND(P40*O40,0)</f>
        <v>150000</v>
      </c>
      <c r="R40" s="82">
        <v>150000</v>
      </c>
      <c r="S40" s="82">
        <v>150000</v>
      </c>
      <c r="T40" s="82">
        <v>150000</v>
      </c>
      <c r="U40" s="92">
        <v>0</v>
      </c>
      <c r="V40" s="92">
        <f>U40</f>
        <v>0</v>
      </c>
      <c r="W40" s="83">
        <v>99000</v>
      </c>
      <c r="X40" s="83">
        <f>W40</f>
        <v>99000</v>
      </c>
      <c r="Y40" s="83">
        <v>99000</v>
      </c>
      <c r="Z40" s="40">
        <f>Y40</f>
        <v>99000</v>
      </c>
    </row>
    <row r="41" spans="1:30" ht="75.75" customHeight="1">
      <c r="A41" s="1067"/>
      <c r="B41" s="977"/>
      <c r="C41" s="977"/>
      <c r="D41" s="977"/>
      <c r="E41" s="977"/>
      <c r="F41" s="977"/>
      <c r="G41" s="977"/>
      <c r="H41" s="977"/>
      <c r="I41" s="1197"/>
      <c r="J41" s="1206"/>
      <c r="K41" s="1207"/>
      <c r="L41" s="1208"/>
      <c r="M41" s="44" t="s">
        <v>88</v>
      </c>
      <c r="N41" s="80" t="s">
        <v>70</v>
      </c>
      <c r="O41" s="91">
        <v>1</v>
      </c>
      <c r="P41" s="91">
        <v>40000</v>
      </c>
      <c r="Q41" s="76">
        <f>ROUND(P41*O41,0)</f>
        <v>40000</v>
      </c>
      <c r="R41" s="82">
        <v>40000</v>
      </c>
      <c r="S41" s="82">
        <v>40000</v>
      </c>
      <c r="T41" s="82">
        <v>40000</v>
      </c>
      <c r="U41" s="92">
        <v>64000</v>
      </c>
      <c r="V41" s="92">
        <f>U41</f>
        <v>64000</v>
      </c>
      <c r="W41" s="83">
        <v>0</v>
      </c>
      <c r="X41" s="83">
        <f>W41</f>
        <v>0</v>
      </c>
      <c r="Y41" s="83">
        <v>0</v>
      </c>
      <c r="Z41" s="40">
        <f>Y41</f>
        <v>0</v>
      </c>
    </row>
    <row r="42" spans="1:30" ht="60.75" customHeight="1">
      <c r="A42" s="1067"/>
      <c r="B42" s="977"/>
      <c r="C42" s="977"/>
      <c r="D42" s="977"/>
      <c r="E42" s="977"/>
      <c r="F42" s="977"/>
      <c r="G42" s="977"/>
      <c r="H42" s="977"/>
      <c r="I42" s="1197"/>
      <c r="J42" s="1206"/>
      <c r="K42" s="1207"/>
      <c r="L42" s="1208"/>
      <c r="M42" s="44" t="s">
        <v>89</v>
      </c>
      <c r="N42" s="80" t="s">
        <v>70</v>
      </c>
      <c r="O42" s="91">
        <v>1</v>
      </c>
      <c r="P42" s="91">
        <v>60000</v>
      </c>
      <c r="Q42" s="76">
        <f>ROUND(P42*O42,0)</f>
        <v>60000</v>
      </c>
      <c r="R42" s="82">
        <v>60000</v>
      </c>
      <c r="S42" s="82">
        <v>60000</v>
      </c>
      <c r="T42" s="82">
        <v>60000</v>
      </c>
      <c r="U42" s="92">
        <v>64000</v>
      </c>
      <c r="V42" s="92">
        <f>U42</f>
        <v>64000</v>
      </c>
      <c r="W42" s="83">
        <v>0</v>
      </c>
      <c r="X42" s="83">
        <f>W42</f>
        <v>0</v>
      </c>
      <c r="Y42" s="83">
        <v>0</v>
      </c>
      <c r="Z42" s="40">
        <f>Y42</f>
        <v>0</v>
      </c>
    </row>
    <row r="43" spans="1:30" s="97" customFormat="1" ht="279.75" customHeight="1">
      <c r="A43" s="67" t="s">
        <v>90</v>
      </c>
      <c r="B43" s="68" t="s">
        <v>22</v>
      </c>
      <c r="C43" s="68" t="s">
        <v>23</v>
      </c>
      <c r="D43" s="68" t="s">
        <v>91</v>
      </c>
      <c r="E43" s="68" t="s">
        <v>25</v>
      </c>
      <c r="F43" s="68" t="s">
        <v>92</v>
      </c>
      <c r="G43" s="68" t="s">
        <v>93</v>
      </c>
      <c r="H43" s="68" t="s">
        <v>28</v>
      </c>
      <c r="I43" s="50" t="s">
        <v>94</v>
      </c>
      <c r="J43" s="93" t="e">
        <f>#REF!</f>
        <v>#REF!</v>
      </c>
      <c r="K43" s="94" t="e">
        <f>#REF!</f>
        <v>#REF!</v>
      </c>
      <c r="L43" s="72" t="s">
        <v>32</v>
      </c>
      <c r="M43" s="95"/>
      <c r="N43" s="96"/>
      <c r="O43" s="28">
        <f>SUM(O44:O51)</f>
        <v>434</v>
      </c>
      <c r="P43" s="28">
        <f>Q43/O43</f>
        <v>5778.8041474654374</v>
      </c>
      <c r="Q43" s="29">
        <f t="shared" ref="Q43:Z43" si="17">SUM(Q44:Q51)</f>
        <v>2508001</v>
      </c>
      <c r="R43" s="29">
        <f t="shared" si="17"/>
        <v>2508001</v>
      </c>
      <c r="S43" s="29">
        <f t="shared" si="17"/>
        <v>2508001</v>
      </c>
      <c r="T43" s="29">
        <f t="shared" si="17"/>
        <v>2508001</v>
      </c>
      <c r="U43" s="24">
        <f t="shared" si="17"/>
        <v>100000</v>
      </c>
      <c r="V43" s="24">
        <f t="shared" si="17"/>
        <v>100000</v>
      </c>
      <c r="W43" s="24">
        <f t="shared" si="17"/>
        <v>50000</v>
      </c>
      <c r="X43" s="24">
        <f t="shared" si="17"/>
        <v>50000</v>
      </c>
      <c r="Y43" s="24">
        <f t="shared" si="17"/>
        <v>50000</v>
      </c>
      <c r="Z43" s="24">
        <f t="shared" si="17"/>
        <v>50000</v>
      </c>
      <c r="AA43" s="907"/>
      <c r="AB43" s="907"/>
      <c r="AC43" s="907"/>
      <c r="AD43" s="907"/>
    </row>
    <row r="44" spans="1:30" ht="64.5" customHeight="1">
      <c r="A44" s="1003" t="s">
        <v>95</v>
      </c>
      <c r="B44" s="1201"/>
      <c r="C44" s="1201"/>
      <c r="D44" s="1201"/>
      <c r="E44" s="1201"/>
      <c r="F44" s="1201"/>
      <c r="G44" s="1201"/>
      <c r="H44" s="1201"/>
      <c r="I44" s="1201" t="s">
        <v>96</v>
      </c>
      <c r="J44" s="1202"/>
      <c r="K44" s="1202"/>
      <c r="L44" s="990"/>
      <c r="M44" s="98" t="s">
        <v>97</v>
      </c>
      <c r="N44" s="80" t="s">
        <v>98</v>
      </c>
      <c r="O44" s="99">
        <v>14</v>
      </c>
      <c r="P44" s="99">
        <v>765</v>
      </c>
      <c r="Q44" s="91">
        <f t="shared" ref="Q44:Q51" si="18">ROUND(O44*P44,0)</f>
        <v>10710</v>
      </c>
      <c r="R44" s="100">
        <v>10710</v>
      </c>
      <c r="S44" s="82">
        <v>10710</v>
      </c>
      <c r="T44" s="82">
        <v>10710</v>
      </c>
      <c r="U44" s="39">
        <v>1960</v>
      </c>
      <c r="V44" s="39">
        <f>U44</f>
        <v>1960</v>
      </c>
      <c r="W44" s="39">
        <f>U44/2</f>
        <v>980</v>
      </c>
      <c r="X44" s="39">
        <f>W44</f>
        <v>980</v>
      </c>
      <c r="Y44" s="39">
        <f>U44/2</f>
        <v>980</v>
      </c>
      <c r="Z44" s="40">
        <f>Y44</f>
        <v>980</v>
      </c>
    </row>
    <row r="45" spans="1:30" ht="62.25" customHeight="1">
      <c r="A45" s="1003"/>
      <c r="B45" s="1201"/>
      <c r="C45" s="1201"/>
      <c r="D45" s="1201"/>
      <c r="E45" s="1201"/>
      <c r="F45" s="1201"/>
      <c r="G45" s="1201"/>
      <c r="H45" s="1201"/>
      <c r="I45" s="1201"/>
      <c r="J45" s="1202"/>
      <c r="K45" s="1202"/>
      <c r="L45" s="990"/>
      <c r="M45" s="98" t="s">
        <v>99</v>
      </c>
      <c r="N45" s="80" t="s">
        <v>34</v>
      </c>
      <c r="O45" s="99">
        <v>16</v>
      </c>
      <c r="P45" s="99">
        <v>5911.3</v>
      </c>
      <c r="Q45" s="91">
        <f t="shared" si="18"/>
        <v>94581</v>
      </c>
      <c r="R45" s="100">
        <v>94581</v>
      </c>
      <c r="S45" s="82">
        <v>94581</v>
      </c>
      <c r="T45" s="82">
        <v>94581</v>
      </c>
      <c r="U45" s="39">
        <v>11823</v>
      </c>
      <c r="V45" s="39">
        <f t="shared" ref="V45:V51" si="19">U45</f>
        <v>11823</v>
      </c>
      <c r="W45" s="39">
        <f t="shared" ref="W45:W51" si="20">U45/2</f>
        <v>5911.5</v>
      </c>
      <c r="X45" s="39">
        <f t="shared" ref="X45:X51" si="21">W45</f>
        <v>5911.5</v>
      </c>
      <c r="Y45" s="39">
        <f t="shared" ref="Y45:Y51" si="22">U45/2</f>
        <v>5911.5</v>
      </c>
      <c r="Z45" s="40">
        <f t="shared" ref="Z45:Z51" si="23">Y45</f>
        <v>5911.5</v>
      </c>
    </row>
    <row r="46" spans="1:30" ht="105" customHeight="1">
      <c r="A46" s="1003"/>
      <c r="B46" s="1201"/>
      <c r="C46" s="1201"/>
      <c r="D46" s="1201"/>
      <c r="E46" s="1201"/>
      <c r="F46" s="1201"/>
      <c r="G46" s="1201"/>
      <c r="H46" s="1201"/>
      <c r="I46" s="1201"/>
      <c r="J46" s="1202"/>
      <c r="K46" s="1202"/>
      <c r="L46" s="990"/>
      <c r="M46" s="98" t="s">
        <v>100</v>
      </c>
      <c r="N46" s="80" t="s">
        <v>34</v>
      </c>
      <c r="O46" s="99">
        <v>14</v>
      </c>
      <c r="P46" s="99">
        <v>5500</v>
      </c>
      <c r="Q46" s="91">
        <f t="shared" si="18"/>
        <v>77000</v>
      </c>
      <c r="R46" s="100">
        <v>77000</v>
      </c>
      <c r="S46" s="82">
        <v>77000</v>
      </c>
      <c r="T46" s="82">
        <v>77000</v>
      </c>
      <c r="U46" s="39">
        <v>11000</v>
      </c>
      <c r="V46" s="39">
        <f t="shared" si="19"/>
        <v>11000</v>
      </c>
      <c r="W46" s="39">
        <f t="shared" si="20"/>
        <v>5500</v>
      </c>
      <c r="X46" s="39">
        <f t="shared" si="21"/>
        <v>5500</v>
      </c>
      <c r="Y46" s="39">
        <f t="shared" si="22"/>
        <v>5500</v>
      </c>
      <c r="Z46" s="40">
        <f t="shared" si="23"/>
        <v>5500</v>
      </c>
    </row>
    <row r="47" spans="1:30" ht="87.75" customHeight="1">
      <c r="A47" s="1003"/>
      <c r="B47" s="1201"/>
      <c r="C47" s="1201"/>
      <c r="D47" s="1201"/>
      <c r="E47" s="1201"/>
      <c r="F47" s="1201"/>
      <c r="G47" s="1201"/>
      <c r="H47" s="1201"/>
      <c r="I47" s="1201"/>
      <c r="J47" s="1202"/>
      <c r="K47" s="1202"/>
      <c r="L47" s="990"/>
      <c r="M47" s="98" t="s">
        <v>101</v>
      </c>
      <c r="N47" s="80" t="s">
        <v>34</v>
      </c>
      <c r="O47" s="99">
        <v>6</v>
      </c>
      <c r="P47" s="99">
        <v>4933.7</v>
      </c>
      <c r="Q47" s="91">
        <f t="shared" si="18"/>
        <v>29602</v>
      </c>
      <c r="R47" s="100">
        <v>29602</v>
      </c>
      <c r="S47" s="82">
        <v>29602</v>
      </c>
      <c r="T47" s="82">
        <v>29602</v>
      </c>
      <c r="U47" s="39">
        <v>19735</v>
      </c>
      <c r="V47" s="39">
        <f t="shared" si="19"/>
        <v>19735</v>
      </c>
      <c r="W47" s="39">
        <f t="shared" si="20"/>
        <v>9867.5</v>
      </c>
      <c r="X47" s="39">
        <f t="shared" si="21"/>
        <v>9867.5</v>
      </c>
      <c r="Y47" s="39">
        <f t="shared" si="22"/>
        <v>9867.5</v>
      </c>
      <c r="Z47" s="40">
        <f t="shared" si="23"/>
        <v>9867.5</v>
      </c>
    </row>
    <row r="48" spans="1:30" ht="126" customHeight="1">
      <c r="A48" s="1003"/>
      <c r="B48" s="1201"/>
      <c r="C48" s="1201"/>
      <c r="D48" s="1201"/>
      <c r="E48" s="1201"/>
      <c r="F48" s="1201"/>
      <c r="G48" s="1201"/>
      <c r="H48" s="1201"/>
      <c r="I48" s="1201"/>
      <c r="J48" s="1202"/>
      <c r="K48" s="1202"/>
      <c r="L48" s="990"/>
      <c r="M48" s="98" t="s">
        <v>102</v>
      </c>
      <c r="N48" s="80" t="s">
        <v>34</v>
      </c>
      <c r="O48" s="99">
        <v>150</v>
      </c>
      <c r="P48" s="99">
        <v>5321.7</v>
      </c>
      <c r="Q48" s="91">
        <f t="shared" si="18"/>
        <v>798255</v>
      </c>
      <c r="R48" s="100">
        <v>798255</v>
      </c>
      <c r="S48" s="82">
        <v>798255</v>
      </c>
      <c r="T48" s="82">
        <v>798255</v>
      </c>
      <c r="U48" s="39">
        <v>21287</v>
      </c>
      <c r="V48" s="39">
        <f t="shared" si="19"/>
        <v>21287</v>
      </c>
      <c r="W48" s="39">
        <f t="shared" si="20"/>
        <v>10643.5</v>
      </c>
      <c r="X48" s="39">
        <f t="shared" si="21"/>
        <v>10643.5</v>
      </c>
      <c r="Y48" s="39">
        <f t="shared" si="22"/>
        <v>10643.5</v>
      </c>
      <c r="Z48" s="40">
        <f t="shared" si="23"/>
        <v>10643.5</v>
      </c>
    </row>
    <row r="49" spans="1:87" ht="106.5" customHeight="1">
      <c r="A49" s="1003"/>
      <c r="B49" s="1201"/>
      <c r="C49" s="1201"/>
      <c r="D49" s="1201"/>
      <c r="E49" s="1201"/>
      <c r="F49" s="1201"/>
      <c r="G49" s="1201"/>
      <c r="H49" s="1201"/>
      <c r="I49" s="1201"/>
      <c r="J49" s="1202"/>
      <c r="K49" s="1202"/>
      <c r="L49" s="990"/>
      <c r="M49" s="98" t="s">
        <v>103</v>
      </c>
      <c r="N49" s="80" t="s">
        <v>34</v>
      </c>
      <c r="O49" s="99">
        <v>80</v>
      </c>
      <c r="P49" s="99">
        <v>7593</v>
      </c>
      <c r="Q49" s="91">
        <f t="shared" si="18"/>
        <v>607440</v>
      </c>
      <c r="R49" s="100">
        <v>607440</v>
      </c>
      <c r="S49" s="82">
        <v>607440</v>
      </c>
      <c r="T49" s="82">
        <v>607440</v>
      </c>
      <c r="U49" s="39">
        <v>0</v>
      </c>
      <c r="V49" s="39">
        <f t="shared" si="19"/>
        <v>0</v>
      </c>
      <c r="W49" s="39">
        <f t="shared" si="20"/>
        <v>0</v>
      </c>
      <c r="X49" s="39">
        <f t="shared" si="21"/>
        <v>0</v>
      </c>
      <c r="Y49" s="39">
        <f t="shared" si="22"/>
        <v>0</v>
      </c>
      <c r="Z49" s="40">
        <f t="shared" si="23"/>
        <v>0</v>
      </c>
    </row>
    <row r="50" spans="1:87" ht="146.25" customHeight="1">
      <c r="A50" s="1003"/>
      <c r="B50" s="1201"/>
      <c r="C50" s="1201"/>
      <c r="D50" s="1201"/>
      <c r="E50" s="1201"/>
      <c r="F50" s="1201"/>
      <c r="G50" s="1201"/>
      <c r="H50" s="1201"/>
      <c r="I50" s="1201"/>
      <c r="J50" s="1202"/>
      <c r="K50" s="1202"/>
      <c r="L50" s="990"/>
      <c r="M50" s="98" t="s">
        <v>104</v>
      </c>
      <c r="N50" s="80" t="s">
        <v>34</v>
      </c>
      <c r="O50" s="99">
        <v>4</v>
      </c>
      <c r="P50" s="99">
        <v>11467</v>
      </c>
      <c r="Q50" s="91">
        <f t="shared" si="18"/>
        <v>45868</v>
      </c>
      <c r="R50" s="100">
        <v>45868</v>
      </c>
      <c r="S50" s="82">
        <v>45868</v>
      </c>
      <c r="T50" s="82">
        <v>45868</v>
      </c>
      <c r="U50" s="39">
        <v>22934</v>
      </c>
      <c r="V50" s="39">
        <f t="shared" si="19"/>
        <v>22934</v>
      </c>
      <c r="W50" s="39">
        <f t="shared" si="20"/>
        <v>11467</v>
      </c>
      <c r="X50" s="39">
        <f t="shared" si="21"/>
        <v>11467</v>
      </c>
      <c r="Y50" s="39">
        <f t="shared" si="22"/>
        <v>11467</v>
      </c>
      <c r="Z50" s="40">
        <f t="shared" si="23"/>
        <v>11467</v>
      </c>
    </row>
    <row r="51" spans="1:87" ht="107.25" customHeight="1">
      <c r="A51" s="1003"/>
      <c r="B51" s="1201"/>
      <c r="C51" s="1201"/>
      <c r="D51" s="1201"/>
      <c r="E51" s="1201"/>
      <c r="F51" s="1201"/>
      <c r="G51" s="1201"/>
      <c r="H51" s="1201"/>
      <c r="I51" s="1201"/>
      <c r="J51" s="1202"/>
      <c r="K51" s="1202"/>
      <c r="L51" s="990"/>
      <c r="M51" s="98" t="s">
        <v>105</v>
      </c>
      <c r="N51" s="80" t="s">
        <v>34</v>
      </c>
      <c r="O51" s="99">
        <v>150</v>
      </c>
      <c r="P51" s="99">
        <v>5630.3</v>
      </c>
      <c r="Q51" s="91">
        <f t="shared" si="18"/>
        <v>844545</v>
      </c>
      <c r="R51" s="100">
        <v>844545</v>
      </c>
      <c r="S51" s="82">
        <v>844545</v>
      </c>
      <c r="T51" s="82">
        <v>844545</v>
      </c>
      <c r="U51" s="39">
        <v>11261</v>
      </c>
      <c r="V51" s="39">
        <f t="shared" si="19"/>
        <v>11261</v>
      </c>
      <c r="W51" s="39">
        <f t="shared" si="20"/>
        <v>5630.5</v>
      </c>
      <c r="X51" s="39">
        <f t="shared" si="21"/>
        <v>5630.5</v>
      </c>
      <c r="Y51" s="39">
        <f t="shared" si="22"/>
        <v>5630.5</v>
      </c>
      <c r="Z51" s="40">
        <f t="shared" si="23"/>
        <v>5630.5</v>
      </c>
    </row>
    <row r="52" spans="1:87" ht="266.25" customHeight="1">
      <c r="A52" s="67" t="s">
        <v>106</v>
      </c>
      <c r="B52" s="68" t="s">
        <v>22</v>
      </c>
      <c r="C52" s="68" t="s">
        <v>23</v>
      </c>
      <c r="D52" s="68" t="s">
        <v>91</v>
      </c>
      <c r="E52" s="68" t="s">
        <v>25</v>
      </c>
      <c r="F52" s="68" t="s">
        <v>107</v>
      </c>
      <c r="G52" s="68" t="s">
        <v>108</v>
      </c>
      <c r="H52" s="68" t="s">
        <v>28</v>
      </c>
      <c r="I52" s="101" t="s">
        <v>109</v>
      </c>
      <c r="J52" s="23">
        <f>J53+J59</f>
        <v>145582.81</v>
      </c>
      <c r="K52" s="24">
        <v>109200</v>
      </c>
      <c r="L52" s="102"/>
      <c r="M52" s="26"/>
      <c r="N52" s="103"/>
      <c r="O52" s="29"/>
      <c r="P52" s="29"/>
      <c r="Q52" s="29">
        <f>Q53+Q59</f>
        <v>551755</v>
      </c>
      <c r="R52" s="29">
        <f>R53+R59</f>
        <v>628490</v>
      </c>
      <c r="S52" s="29">
        <f>S53+S59</f>
        <v>628490</v>
      </c>
      <c r="T52" s="29">
        <f>T53+T59</f>
        <v>628490</v>
      </c>
      <c r="U52" s="24">
        <f t="shared" ref="U52:Z52" si="24">U53+U59+U72</f>
        <v>350000</v>
      </c>
      <c r="V52" s="24">
        <f t="shared" si="24"/>
        <v>350000</v>
      </c>
      <c r="W52" s="24">
        <f t="shared" si="24"/>
        <v>72800</v>
      </c>
      <c r="X52" s="24">
        <f t="shared" si="24"/>
        <v>72800</v>
      </c>
      <c r="Y52" s="24">
        <f t="shared" si="24"/>
        <v>72800</v>
      </c>
      <c r="Z52" s="24">
        <f t="shared" si="24"/>
        <v>72800</v>
      </c>
      <c r="AA52" s="908"/>
      <c r="AB52" s="908"/>
      <c r="AC52" s="908"/>
      <c r="AD52" s="908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</row>
    <row r="53" spans="1:87" s="110" customFormat="1" ht="24" customHeight="1">
      <c r="A53" s="1193" t="s">
        <v>110</v>
      </c>
      <c r="B53" s="1194"/>
      <c r="C53" s="1178"/>
      <c r="D53" s="1178"/>
      <c r="E53" s="1178"/>
      <c r="F53" s="1178"/>
      <c r="G53" s="1178"/>
      <c r="H53" s="1178"/>
      <c r="I53" s="1197" t="s">
        <v>111</v>
      </c>
      <c r="J53" s="1108">
        <v>33600</v>
      </c>
      <c r="K53" s="1199">
        <v>87845.5</v>
      </c>
      <c r="L53" s="1192" t="s">
        <v>112</v>
      </c>
      <c r="M53" s="105" t="s">
        <v>113</v>
      </c>
      <c r="N53" s="106" t="s">
        <v>70</v>
      </c>
      <c r="O53" s="107">
        <f>SUM(O54:O58)</f>
        <v>20</v>
      </c>
      <c r="P53" s="108"/>
      <c r="Q53" s="108">
        <f t="shared" ref="Q53:Z53" si="25">SUM(Q54:Q58)</f>
        <v>103789</v>
      </c>
      <c r="R53" s="108">
        <f t="shared" si="25"/>
        <v>180524</v>
      </c>
      <c r="S53" s="108">
        <f t="shared" si="25"/>
        <v>180524</v>
      </c>
      <c r="T53" s="108">
        <f t="shared" si="25"/>
        <v>180524</v>
      </c>
      <c r="U53" s="109">
        <f>SUM(U54:U58)</f>
        <v>70189</v>
      </c>
      <c r="V53" s="109">
        <f t="shared" si="25"/>
        <v>70189</v>
      </c>
      <c r="W53" s="109">
        <f t="shared" si="25"/>
        <v>25992</v>
      </c>
      <c r="X53" s="109">
        <f t="shared" si="25"/>
        <v>25992</v>
      </c>
      <c r="Y53" s="109">
        <f t="shared" si="25"/>
        <v>25992</v>
      </c>
      <c r="Z53" s="109">
        <f t="shared" si="25"/>
        <v>25992</v>
      </c>
      <c r="AA53" s="908"/>
      <c r="AB53" s="908"/>
      <c r="AC53" s="908"/>
      <c r="AD53" s="908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</row>
    <row r="54" spans="1:87" s="104" customFormat="1" ht="70.5" customHeight="1">
      <c r="A54" s="1193"/>
      <c r="B54" s="1178"/>
      <c r="C54" s="1178"/>
      <c r="D54" s="1178"/>
      <c r="E54" s="1178"/>
      <c r="F54" s="1178"/>
      <c r="G54" s="1178"/>
      <c r="H54" s="1178"/>
      <c r="I54" s="1197"/>
      <c r="J54" s="1108"/>
      <c r="K54" s="1199"/>
      <c r="L54" s="1192"/>
      <c r="M54" s="30" t="s">
        <v>114</v>
      </c>
      <c r="N54" s="80"/>
      <c r="O54" s="111">
        <v>1</v>
      </c>
      <c r="P54" s="91">
        <v>10260</v>
      </c>
      <c r="Q54" s="91">
        <f>ROUND(O54*P54,0)</f>
        <v>10260</v>
      </c>
      <c r="R54" s="91">
        <v>113883</v>
      </c>
      <c r="S54" s="82">
        <v>113883</v>
      </c>
      <c r="T54" s="82">
        <v>113883</v>
      </c>
      <c r="U54" s="39">
        <v>10260</v>
      </c>
      <c r="V54" s="39">
        <f>U54</f>
        <v>10260</v>
      </c>
      <c r="W54" s="39">
        <v>0</v>
      </c>
      <c r="X54" s="39">
        <f>W54</f>
        <v>0</v>
      </c>
      <c r="Y54" s="39">
        <v>0</v>
      </c>
      <c r="Z54" s="40">
        <f>Y54</f>
        <v>0</v>
      </c>
      <c r="AA54" s="908"/>
      <c r="AB54" s="908"/>
      <c r="AC54" s="908"/>
      <c r="AD54" s="908"/>
    </row>
    <row r="55" spans="1:87" s="104" customFormat="1" ht="66" customHeight="1">
      <c r="A55" s="1193"/>
      <c r="B55" s="1178"/>
      <c r="C55" s="1178"/>
      <c r="D55" s="1178"/>
      <c r="E55" s="1178"/>
      <c r="F55" s="1178"/>
      <c r="G55" s="1178"/>
      <c r="H55" s="1178"/>
      <c r="I55" s="1197"/>
      <c r="J55" s="1108"/>
      <c r="K55" s="1199"/>
      <c r="L55" s="1192"/>
      <c r="M55" s="30" t="s">
        <v>115</v>
      </c>
      <c r="N55" s="80"/>
      <c r="O55" s="111">
        <v>3</v>
      </c>
      <c r="P55" s="91">
        <v>11725</v>
      </c>
      <c r="Q55" s="91">
        <f>ROUND(O55*P55,0)</f>
        <v>35175</v>
      </c>
      <c r="R55" s="91">
        <v>25992</v>
      </c>
      <c r="S55" s="82">
        <v>25992</v>
      </c>
      <c r="T55" s="82">
        <v>25992</v>
      </c>
      <c r="U55" s="39">
        <v>35175</v>
      </c>
      <c r="V55" s="39">
        <f>U55</f>
        <v>35175</v>
      </c>
      <c r="W55" s="39">
        <v>25992</v>
      </c>
      <c r="X55" s="39">
        <f>W55</f>
        <v>25992</v>
      </c>
      <c r="Y55" s="39">
        <v>25992</v>
      </c>
      <c r="Z55" s="40">
        <f>Y55</f>
        <v>25992</v>
      </c>
      <c r="AA55" s="908"/>
      <c r="AB55" s="908"/>
      <c r="AC55" s="908"/>
      <c r="AD55" s="908"/>
    </row>
    <row r="56" spans="1:87" s="104" customFormat="1" ht="28.5" customHeight="1">
      <c r="A56" s="1193"/>
      <c r="B56" s="1178"/>
      <c r="C56" s="1178"/>
      <c r="D56" s="1178"/>
      <c r="E56" s="1178"/>
      <c r="F56" s="1178"/>
      <c r="G56" s="1178"/>
      <c r="H56" s="1178"/>
      <c r="I56" s="1197"/>
      <c r="J56" s="1108"/>
      <c r="K56" s="1199"/>
      <c r="L56" s="1192"/>
      <c r="M56" s="30" t="s">
        <v>116</v>
      </c>
      <c r="N56" s="80"/>
      <c r="O56" s="111">
        <v>3</v>
      </c>
      <c r="P56" s="91">
        <v>4860</v>
      </c>
      <c r="Q56" s="91">
        <f>ROUND(O56*P56,0)</f>
        <v>14580</v>
      </c>
      <c r="R56" s="91">
        <v>2580</v>
      </c>
      <c r="S56" s="82">
        <v>2580</v>
      </c>
      <c r="T56" s="82">
        <v>2580</v>
      </c>
      <c r="U56" s="39">
        <v>14580</v>
      </c>
      <c r="V56" s="39">
        <f>U56</f>
        <v>14580</v>
      </c>
      <c r="W56" s="39">
        <v>0</v>
      </c>
      <c r="X56" s="39">
        <f>W56</f>
        <v>0</v>
      </c>
      <c r="Y56" s="39">
        <v>0</v>
      </c>
      <c r="Z56" s="40">
        <f>Y56</f>
        <v>0</v>
      </c>
      <c r="AA56" s="908"/>
      <c r="AB56" s="908"/>
      <c r="AC56" s="908"/>
      <c r="AD56" s="908"/>
    </row>
    <row r="57" spans="1:87" s="104" customFormat="1" ht="35.25" hidden="1" customHeight="1">
      <c r="A57" s="1193"/>
      <c r="B57" s="1178"/>
      <c r="C57" s="1178"/>
      <c r="D57" s="1178"/>
      <c r="E57" s="1178"/>
      <c r="F57" s="1178"/>
      <c r="G57" s="1178"/>
      <c r="H57" s="1178"/>
      <c r="I57" s="1197"/>
      <c r="J57" s="1108"/>
      <c r="K57" s="1199"/>
      <c r="L57" s="1192"/>
      <c r="M57" s="112" t="s">
        <v>117</v>
      </c>
      <c r="N57" s="80"/>
      <c r="O57" s="111">
        <v>3</v>
      </c>
      <c r="P57" s="91">
        <v>11200</v>
      </c>
      <c r="Q57" s="91">
        <f>ROUND(O57*P57,0)</f>
        <v>33600</v>
      </c>
      <c r="R57" s="91">
        <v>33600</v>
      </c>
      <c r="S57" s="82">
        <v>33600</v>
      </c>
      <c r="T57" s="82">
        <v>33600</v>
      </c>
      <c r="U57" s="39"/>
      <c r="V57" s="39">
        <f>U57</f>
        <v>0</v>
      </c>
      <c r="W57" s="39"/>
      <c r="X57" s="39">
        <f>W57</f>
        <v>0</v>
      </c>
      <c r="Y57" s="39"/>
      <c r="Z57" s="40">
        <f>Y57</f>
        <v>0</v>
      </c>
      <c r="AA57" s="908"/>
      <c r="AB57" s="908"/>
      <c r="AC57" s="908"/>
      <c r="AD57" s="908"/>
    </row>
    <row r="58" spans="1:87" s="104" customFormat="1" ht="91.5" customHeight="1">
      <c r="A58" s="1193"/>
      <c r="B58" s="1178"/>
      <c r="C58" s="1178"/>
      <c r="D58" s="1178"/>
      <c r="E58" s="1178"/>
      <c r="F58" s="1178"/>
      <c r="G58" s="1178"/>
      <c r="H58" s="1178"/>
      <c r="I58" s="1197"/>
      <c r="J58" s="1108"/>
      <c r="K58" s="1199"/>
      <c r="L58" s="1192"/>
      <c r="M58" s="30" t="s">
        <v>118</v>
      </c>
      <c r="N58" s="80"/>
      <c r="O58" s="111">
        <v>10</v>
      </c>
      <c r="P58" s="91">
        <v>1017.4</v>
      </c>
      <c r="Q58" s="91">
        <f>ROUND(O58*P58,0)</f>
        <v>10174</v>
      </c>
      <c r="R58" s="91">
        <v>4469</v>
      </c>
      <c r="S58" s="82">
        <v>4469</v>
      </c>
      <c r="T58" s="82">
        <v>4469</v>
      </c>
      <c r="U58" s="82">
        <v>10174</v>
      </c>
      <c r="V58" s="39">
        <f>U58</f>
        <v>10174</v>
      </c>
      <c r="W58" s="39">
        <v>0</v>
      </c>
      <c r="X58" s="39">
        <f>W58</f>
        <v>0</v>
      </c>
      <c r="Y58" s="39">
        <v>0</v>
      </c>
      <c r="Z58" s="40">
        <f>Y58</f>
        <v>0</v>
      </c>
      <c r="AA58" s="908"/>
      <c r="AB58" s="908"/>
      <c r="AC58" s="908"/>
      <c r="AD58" s="908"/>
    </row>
    <row r="59" spans="1:87" ht="33" customHeight="1">
      <c r="A59" s="1193" t="s">
        <v>119</v>
      </c>
      <c r="B59" s="1194"/>
      <c r="C59" s="1178"/>
      <c r="D59" s="1178"/>
      <c r="E59" s="1178"/>
      <c r="F59" s="1178"/>
      <c r="G59" s="1178"/>
      <c r="H59" s="1178"/>
      <c r="I59" s="1197"/>
      <c r="J59" s="1108">
        <f>112000-17.19</f>
        <v>111982.81</v>
      </c>
      <c r="K59" s="1199">
        <v>21354.5</v>
      </c>
      <c r="L59" s="1192" t="s">
        <v>112</v>
      </c>
      <c r="M59" s="113" t="s">
        <v>113</v>
      </c>
      <c r="N59" s="114" t="s">
        <v>98</v>
      </c>
      <c r="O59" s="115">
        <f>SUM(O60:O71)</f>
        <v>30</v>
      </c>
      <c r="P59" s="116">
        <f>Q59/O59</f>
        <v>14932.2</v>
      </c>
      <c r="Q59" s="117">
        <f t="shared" ref="Q59:Z59" si="26">SUM(Q60:Q71)</f>
        <v>447966</v>
      </c>
      <c r="R59" s="117">
        <f t="shared" si="26"/>
        <v>447966</v>
      </c>
      <c r="S59" s="117">
        <f t="shared" si="26"/>
        <v>447966</v>
      </c>
      <c r="T59" s="117">
        <f t="shared" si="26"/>
        <v>447966</v>
      </c>
      <c r="U59" s="117">
        <f>SUM(U60:U71)</f>
        <v>278998</v>
      </c>
      <c r="V59" s="117">
        <f t="shared" si="26"/>
        <v>278998</v>
      </c>
      <c r="W59" s="117">
        <f t="shared" si="26"/>
        <v>46808</v>
      </c>
      <c r="X59" s="117">
        <f t="shared" si="26"/>
        <v>46808</v>
      </c>
      <c r="Y59" s="117">
        <f t="shared" si="26"/>
        <v>46808</v>
      </c>
      <c r="Z59" s="117">
        <f t="shared" si="26"/>
        <v>46808</v>
      </c>
    </row>
    <row r="60" spans="1:87" ht="105.75" customHeight="1">
      <c r="A60" s="912"/>
      <c r="B60" s="1178"/>
      <c r="C60" s="1178"/>
      <c r="D60" s="1178"/>
      <c r="E60" s="1178"/>
      <c r="F60" s="1178"/>
      <c r="G60" s="1178"/>
      <c r="H60" s="1178"/>
      <c r="I60" s="1198"/>
      <c r="J60" s="1200"/>
      <c r="K60" s="1178"/>
      <c r="L60" s="1178"/>
      <c r="M60" s="113" t="s">
        <v>120</v>
      </c>
      <c r="N60" s="118" t="s">
        <v>98</v>
      </c>
      <c r="O60" s="119">
        <v>2</v>
      </c>
      <c r="P60" s="120">
        <v>4700</v>
      </c>
      <c r="Q60" s="39">
        <f t="shared" ref="Q60:Q71" si="27">ROUND(O60*P60,0)</f>
        <v>9400</v>
      </c>
      <c r="R60" s="39">
        <v>9400</v>
      </c>
      <c r="S60" s="66">
        <v>9400</v>
      </c>
      <c r="T60" s="66">
        <v>9400</v>
      </c>
      <c r="U60" s="121">
        <v>7215</v>
      </c>
      <c r="V60" s="121">
        <f>U60</f>
        <v>7215</v>
      </c>
      <c r="W60" s="39">
        <v>0</v>
      </c>
      <c r="X60" s="39">
        <f>W60</f>
        <v>0</v>
      </c>
      <c r="Y60" s="39">
        <v>0</v>
      </c>
      <c r="Z60" s="40">
        <f>Y60</f>
        <v>0</v>
      </c>
    </row>
    <row r="61" spans="1:87" ht="64.5" customHeight="1">
      <c r="A61" s="912"/>
      <c r="B61" s="1178"/>
      <c r="C61" s="1178"/>
      <c r="D61" s="1178"/>
      <c r="E61" s="1178"/>
      <c r="F61" s="1178"/>
      <c r="G61" s="1178"/>
      <c r="H61" s="1178"/>
      <c r="I61" s="1198"/>
      <c r="J61" s="1200"/>
      <c r="K61" s="1178"/>
      <c r="L61" s="1178"/>
      <c r="M61" s="113" t="s">
        <v>121</v>
      </c>
      <c r="N61" s="118" t="s">
        <v>98</v>
      </c>
      <c r="O61" s="119">
        <v>2</v>
      </c>
      <c r="P61" s="120">
        <v>6666</v>
      </c>
      <c r="Q61" s="39">
        <f t="shared" si="27"/>
        <v>13332</v>
      </c>
      <c r="R61" s="39">
        <v>13332</v>
      </c>
      <c r="S61" s="66">
        <v>13332</v>
      </c>
      <c r="T61" s="66">
        <v>13332</v>
      </c>
      <c r="U61" s="121">
        <v>10260</v>
      </c>
      <c r="V61" s="121">
        <f t="shared" ref="V61:V71" si="28">U61</f>
        <v>10260</v>
      </c>
      <c r="W61" s="39">
        <v>0</v>
      </c>
      <c r="X61" s="39">
        <f t="shared" ref="X61:X66" si="29">W61</f>
        <v>0</v>
      </c>
      <c r="Y61" s="39">
        <v>0</v>
      </c>
      <c r="Z61" s="40">
        <f t="shared" ref="Z61:Z72" si="30">Y61</f>
        <v>0</v>
      </c>
    </row>
    <row r="62" spans="1:87" ht="60.75" customHeight="1">
      <c r="A62" s="912"/>
      <c r="B62" s="1178"/>
      <c r="C62" s="1178"/>
      <c r="D62" s="1178"/>
      <c r="E62" s="1178"/>
      <c r="F62" s="1178"/>
      <c r="G62" s="1178"/>
      <c r="H62" s="1178"/>
      <c r="I62" s="1198"/>
      <c r="J62" s="1200"/>
      <c r="K62" s="1178"/>
      <c r="L62" s="1178"/>
      <c r="M62" s="113" t="s">
        <v>122</v>
      </c>
      <c r="N62" s="118" t="s">
        <v>98</v>
      </c>
      <c r="O62" s="119">
        <v>2</v>
      </c>
      <c r="P62" s="120">
        <v>8700</v>
      </c>
      <c r="Q62" s="39">
        <f t="shared" si="27"/>
        <v>17400</v>
      </c>
      <c r="R62" s="39">
        <v>17400</v>
      </c>
      <c r="S62" s="66">
        <v>17400</v>
      </c>
      <c r="T62" s="66">
        <v>17400</v>
      </c>
      <c r="U62" s="121">
        <v>28600</v>
      </c>
      <c r="V62" s="121">
        <f t="shared" si="28"/>
        <v>28600</v>
      </c>
      <c r="W62" s="39">
        <v>0</v>
      </c>
      <c r="X62" s="39">
        <f t="shared" si="29"/>
        <v>0</v>
      </c>
      <c r="Y62" s="39">
        <v>0</v>
      </c>
      <c r="Z62" s="40">
        <f t="shared" si="30"/>
        <v>0</v>
      </c>
    </row>
    <row r="63" spans="1:87" ht="42" customHeight="1">
      <c r="A63" s="912"/>
      <c r="B63" s="1178"/>
      <c r="C63" s="1178"/>
      <c r="D63" s="1178"/>
      <c r="E63" s="1178"/>
      <c r="F63" s="1178"/>
      <c r="G63" s="1178"/>
      <c r="H63" s="1178"/>
      <c r="I63" s="1198"/>
      <c r="J63" s="1200"/>
      <c r="K63" s="1178"/>
      <c r="L63" s="1178"/>
      <c r="M63" s="113" t="s">
        <v>123</v>
      </c>
      <c r="N63" s="118" t="s">
        <v>98</v>
      </c>
      <c r="O63" s="119">
        <v>10</v>
      </c>
      <c r="P63" s="120">
        <v>1850</v>
      </c>
      <c r="Q63" s="39">
        <f t="shared" si="27"/>
        <v>18500</v>
      </c>
      <c r="R63" s="39">
        <v>18500</v>
      </c>
      <c r="S63" s="66">
        <v>18500</v>
      </c>
      <c r="T63" s="66">
        <v>18500</v>
      </c>
      <c r="U63" s="121">
        <v>26800</v>
      </c>
      <c r="V63" s="121">
        <f t="shared" si="28"/>
        <v>26800</v>
      </c>
      <c r="W63" s="39">
        <v>0</v>
      </c>
      <c r="X63" s="39">
        <f t="shared" si="29"/>
        <v>0</v>
      </c>
      <c r="Y63" s="39">
        <v>0</v>
      </c>
      <c r="Z63" s="40">
        <f t="shared" si="30"/>
        <v>0</v>
      </c>
    </row>
    <row r="64" spans="1:87" ht="66.75" customHeight="1">
      <c r="A64" s="912"/>
      <c r="B64" s="1178"/>
      <c r="C64" s="1178"/>
      <c r="D64" s="1178"/>
      <c r="E64" s="1178"/>
      <c r="F64" s="1178"/>
      <c r="G64" s="1178"/>
      <c r="H64" s="1178"/>
      <c r="I64" s="1198"/>
      <c r="J64" s="1200"/>
      <c r="K64" s="1178"/>
      <c r="L64" s="1178"/>
      <c r="M64" s="113" t="s">
        <v>124</v>
      </c>
      <c r="N64" s="118" t="s">
        <v>98</v>
      </c>
      <c r="O64" s="119">
        <v>1</v>
      </c>
      <c r="P64" s="120">
        <v>23550</v>
      </c>
      <c r="Q64" s="39">
        <f t="shared" si="27"/>
        <v>23550</v>
      </c>
      <c r="R64" s="39">
        <v>23550</v>
      </c>
      <c r="S64" s="66">
        <v>23550</v>
      </c>
      <c r="T64" s="66">
        <v>23550</v>
      </c>
      <c r="U64" s="121">
        <v>41720</v>
      </c>
      <c r="V64" s="121">
        <f t="shared" si="28"/>
        <v>41720</v>
      </c>
      <c r="W64" s="39">
        <v>46808</v>
      </c>
      <c r="X64" s="39">
        <f>W64</f>
        <v>46808</v>
      </c>
      <c r="Y64" s="39">
        <v>46808</v>
      </c>
      <c r="Z64" s="40">
        <f>Y64</f>
        <v>46808</v>
      </c>
    </row>
    <row r="65" spans="1:26" ht="41.25" customHeight="1">
      <c r="A65" s="912"/>
      <c r="B65" s="1178"/>
      <c r="C65" s="1178"/>
      <c r="D65" s="1178"/>
      <c r="E65" s="1178"/>
      <c r="F65" s="1178"/>
      <c r="G65" s="1178"/>
      <c r="H65" s="1178"/>
      <c r="I65" s="1198"/>
      <c r="J65" s="1200"/>
      <c r="K65" s="1178"/>
      <c r="L65" s="1178"/>
      <c r="M65" s="113" t="s">
        <v>125</v>
      </c>
      <c r="N65" s="118" t="s">
        <v>98</v>
      </c>
      <c r="O65" s="119">
        <v>2</v>
      </c>
      <c r="P65" s="120">
        <v>23550</v>
      </c>
      <c r="Q65" s="39">
        <f t="shared" si="27"/>
        <v>47100</v>
      </c>
      <c r="R65" s="39">
        <v>47100</v>
      </c>
      <c r="S65" s="66">
        <v>47100</v>
      </c>
      <c r="T65" s="66">
        <v>47100</v>
      </c>
      <c r="U65" s="121">
        <v>72223</v>
      </c>
      <c r="V65" s="121">
        <f t="shared" si="28"/>
        <v>72223</v>
      </c>
      <c r="W65" s="39">
        <v>0</v>
      </c>
      <c r="X65" s="39">
        <f>W65</f>
        <v>0</v>
      </c>
      <c r="Y65" s="39">
        <v>0</v>
      </c>
      <c r="Z65" s="40">
        <f>Y65</f>
        <v>0</v>
      </c>
    </row>
    <row r="66" spans="1:26" ht="22.5" customHeight="1">
      <c r="A66" s="912"/>
      <c r="B66" s="1178"/>
      <c r="C66" s="1178"/>
      <c r="D66" s="1178"/>
      <c r="E66" s="1178"/>
      <c r="F66" s="1178"/>
      <c r="G66" s="1178"/>
      <c r="H66" s="1178"/>
      <c r="I66" s="1198"/>
      <c r="J66" s="1200"/>
      <c r="K66" s="1178"/>
      <c r="L66" s="1178"/>
      <c r="M66" s="113" t="s">
        <v>126</v>
      </c>
      <c r="N66" s="118" t="s">
        <v>70</v>
      </c>
      <c r="O66" s="119">
        <v>1</v>
      </c>
      <c r="P66" s="120">
        <v>179304</v>
      </c>
      <c r="Q66" s="39">
        <f t="shared" si="27"/>
        <v>179304</v>
      </c>
      <c r="R66" s="39">
        <v>179304</v>
      </c>
      <c r="S66" s="66">
        <v>179304</v>
      </c>
      <c r="T66" s="66">
        <v>179304</v>
      </c>
      <c r="U66" s="122">
        <v>55780</v>
      </c>
      <c r="V66" s="121">
        <f t="shared" si="28"/>
        <v>55780</v>
      </c>
      <c r="W66" s="39">
        <v>0</v>
      </c>
      <c r="X66" s="39">
        <f t="shared" si="29"/>
        <v>0</v>
      </c>
      <c r="Y66" s="39">
        <v>0</v>
      </c>
      <c r="Z66" s="40">
        <f t="shared" si="30"/>
        <v>0</v>
      </c>
    </row>
    <row r="67" spans="1:26" ht="24" customHeight="1">
      <c r="A67" s="912"/>
      <c r="B67" s="1178"/>
      <c r="C67" s="1178"/>
      <c r="D67" s="1178"/>
      <c r="E67" s="1178"/>
      <c r="F67" s="1178"/>
      <c r="G67" s="1178"/>
      <c r="H67" s="1178"/>
      <c r="I67" s="1198"/>
      <c r="J67" s="1200"/>
      <c r="K67" s="1178"/>
      <c r="L67" s="1178"/>
      <c r="M67" s="113" t="s">
        <v>127</v>
      </c>
      <c r="N67" s="118" t="s">
        <v>70</v>
      </c>
      <c r="O67" s="119"/>
      <c r="P67" s="120"/>
      <c r="Q67" s="39"/>
      <c r="R67" s="39"/>
      <c r="S67" s="66"/>
      <c r="T67" s="66"/>
      <c r="U67" s="122">
        <v>8000</v>
      </c>
      <c r="V67" s="121">
        <f t="shared" si="28"/>
        <v>8000</v>
      </c>
      <c r="W67" s="39">
        <v>0</v>
      </c>
      <c r="X67" s="39">
        <f>W67</f>
        <v>0</v>
      </c>
      <c r="Y67" s="39">
        <v>0</v>
      </c>
      <c r="Z67" s="40">
        <f t="shared" si="30"/>
        <v>0</v>
      </c>
    </row>
    <row r="68" spans="1:26" ht="21.75" customHeight="1">
      <c r="A68" s="912"/>
      <c r="B68" s="1178"/>
      <c r="C68" s="1178"/>
      <c r="D68" s="1178"/>
      <c r="E68" s="1178"/>
      <c r="F68" s="1178"/>
      <c r="G68" s="1178"/>
      <c r="H68" s="1178"/>
      <c r="I68" s="1198"/>
      <c r="J68" s="1200"/>
      <c r="K68" s="1178"/>
      <c r="L68" s="1178"/>
      <c r="M68" s="113" t="s">
        <v>128</v>
      </c>
      <c r="N68" s="118" t="s">
        <v>70</v>
      </c>
      <c r="O68" s="119"/>
      <c r="P68" s="120"/>
      <c r="Q68" s="39"/>
      <c r="R68" s="39"/>
      <c r="S68" s="66"/>
      <c r="T68" s="66"/>
      <c r="U68" s="122">
        <v>4800</v>
      </c>
      <c r="V68" s="121">
        <f t="shared" si="28"/>
        <v>4800</v>
      </c>
      <c r="W68" s="39">
        <v>0</v>
      </c>
      <c r="X68" s="39">
        <f>W68</f>
        <v>0</v>
      </c>
      <c r="Y68" s="39">
        <v>0</v>
      </c>
      <c r="Z68" s="40">
        <f t="shared" si="30"/>
        <v>0</v>
      </c>
    </row>
    <row r="69" spans="1:26" ht="24" customHeight="1">
      <c r="A69" s="912"/>
      <c r="B69" s="1178"/>
      <c r="C69" s="1178"/>
      <c r="D69" s="1178"/>
      <c r="E69" s="1178"/>
      <c r="F69" s="1178"/>
      <c r="G69" s="1178"/>
      <c r="H69" s="1178"/>
      <c r="I69" s="1198"/>
      <c r="J69" s="1200"/>
      <c r="K69" s="1178"/>
      <c r="L69" s="1178"/>
      <c r="M69" s="113" t="s">
        <v>129</v>
      </c>
      <c r="N69" s="118"/>
      <c r="O69" s="119"/>
      <c r="P69" s="120"/>
      <c r="Q69" s="39"/>
      <c r="R69" s="39"/>
      <c r="S69" s="66"/>
      <c r="T69" s="66"/>
      <c r="U69" s="122">
        <v>7000</v>
      </c>
      <c r="V69" s="121">
        <f t="shared" si="28"/>
        <v>7000</v>
      </c>
      <c r="W69" s="39">
        <v>0</v>
      </c>
      <c r="X69" s="39">
        <f>W69</f>
        <v>0</v>
      </c>
      <c r="Y69" s="39">
        <v>0</v>
      </c>
      <c r="Z69" s="40">
        <f t="shared" si="30"/>
        <v>0</v>
      </c>
    </row>
    <row r="70" spans="1:26" ht="43.5" customHeight="1">
      <c r="A70" s="912"/>
      <c r="B70" s="1178"/>
      <c r="C70" s="1178"/>
      <c r="D70" s="1178"/>
      <c r="E70" s="1178"/>
      <c r="F70" s="1178"/>
      <c r="G70" s="1178"/>
      <c r="H70" s="1178"/>
      <c r="I70" s="1198"/>
      <c r="J70" s="1200"/>
      <c r="K70" s="1178"/>
      <c r="L70" s="1178"/>
      <c r="M70" s="113" t="s">
        <v>130</v>
      </c>
      <c r="N70" s="118"/>
      <c r="O70" s="119"/>
      <c r="P70" s="120"/>
      <c r="Q70" s="39"/>
      <c r="R70" s="39"/>
      <c r="S70" s="66"/>
      <c r="T70" s="66"/>
      <c r="U70" s="122">
        <v>8600</v>
      </c>
      <c r="V70" s="121">
        <f t="shared" si="28"/>
        <v>8600</v>
      </c>
      <c r="W70" s="39">
        <v>0</v>
      </c>
      <c r="X70" s="39">
        <f>W70</f>
        <v>0</v>
      </c>
      <c r="Y70" s="39">
        <v>0</v>
      </c>
      <c r="Z70" s="40">
        <f t="shared" si="30"/>
        <v>0</v>
      </c>
    </row>
    <row r="71" spans="1:26" ht="85.5" customHeight="1">
      <c r="A71" s="912"/>
      <c r="B71" s="1178"/>
      <c r="C71" s="1178"/>
      <c r="D71" s="1178"/>
      <c r="E71" s="1178"/>
      <c r="F71" s="1178"/>
      <c r="G71" s="1178"/>
      <c r="H71" s="1178"/>
      <c r="I71" s="1198"/>
      <c r="J71" s="1200"/>
      <c r="K71" s="1178"/>
      <c r="L71" s="1178"/>
      <c r="M71" s="113" t="s">
        <v>131</v>
      </c>
      <c r="N71" s="118"/>
      <c r="O71" s="119">
        <v>10</v>
      </c>
      <c r="P71" s="120">
        <v>13938</v>
      </c>
      <c r="Q71" s="39">
        <f t="shared" si="27"/>
        <v>139380</v>
      </c>
      <c r="R71" s="39">
        <v>139380</v>
      </c>
      <c r="S71" s="66">
        <v>139380</v>
      </c>
      <c r="T71" s="66">
        <v>139380</v>
      </c>
      <c r="U71" s="121">
        <v>8000</v>
      </c>
      <c r="V71" s="121">
        <f t="shared" si="28"/>
        <v>8000</v>
      </c>
      <c r="W71" s="39">
        <v>0</v>
      </c>
      <c r="X71" s="39">
        <f>W71</f>
        <v>0</v>
      </c>
      <c r="Y71" s="39">
        <v>0</v>
      </c>
      <c r="Z71" s="40">
        <f t="shared" si="30"/>
        <v>0</v>
      </c>
    </row>
    <row r="72" spans="1:26" ht="63" customHeight="1">
      <c r="A72" s="123" t="s">
        <v>132</v>
      </c>
      <c r="B72" s="124"/>
      <c r="C72" s="124"/>
      <c r="D72" s="124"/>
      <c r="E72" s="124"/>
      <c r="F72" s="124"/>
      <c r="G72" s="124"/>
      <c r="H72" s="124"/>
      <c r="I72" s="125"/>
      <c r="J72" s="126"/>
      <c r="K72" s="124"/>
      <c r="L72" s="124"/>
      <c r="M72" s="113"/>
      <c r="N72" s="118"/>
      <c r="O72" s="119"/>
      <c r="P72" s="120"/>
      <c r="Q72" s="39"/>
      <c r="R72" s="39"/>
      <c r="S72" s="66"/>
      <c r="T72" s="66"/>
      <c r="U72" s="121">
        <v>813</v>
      </c>
      <c r="V72" s="121">
        <v>813</v>
      </c>
      <c r="W72" s="39">
        <v>0</v>
      </c>
      <c r="X72" s="39">
        <v>0</v>
      </c>
      <c r="Y72" s="39">
        <v>0</v>
      </c>
      <c r="Z72" s="40">
        <f t="shared" si="30"/>
        <v>0</v>
      </c>
    </row>
    <row r="73" spans="1:26" ht="275.25" customHeight="1">
      <c r="A73" s="67" t="s">
        <v>133</v>
      </c>
      <c r="B73" s="68" t="s">
        <v>22</v>
      </c>
      <c r="C73" s="68" t="s">
        <v>23</v>
      </c>
      <c r="D73" s="68" t="s">
        <v>91</v>
      </c>
      <c r="E73" s="68" t="s">
        <v>25</v>
      </c>
      <c r="F73" s="68" t="s">
        <v>134</v>
      </c>
      <c r="G73" s="68" t="s">
        <v>135</v>
      </c>
      <c r="H73" s="68" t="s">
        <v>28</v>
      </c>
      <c r="I73" s="50" t="s">
        <v>136</v>
      </c>
      <c r="J73" s="69">
        <v>36000</v>
      </c>
      <c r="K73" s="24">
        <v>27000</v>
      </c>
      <c r="L73" s="70"/>
      <c r="M73" s="71"/>
      <c r="N73" s="127"/>
      <c r="O73" s="28"/>
      <c r="P73" s="28"/>
      <c r="Q73" s="29" t="e">
        <f>Q74+Q75+#REF!+Q76+#REF!+#REF!</f>
        <v>#REF!</v>
      </c>
      <c r="R73" s="29" t="e">
        <f>R74+R75+#REF!+R76+#REF!+#REF!</f>
        <v>#REF!</v>
      </c>
      <c r="S73" s="29" t="e">
        <f>S74+S75+#REF!+S76+#REF!+#REF!</f>
        <v>#REF!</v>
      </c>
      <c r="T73" s="29" t="e">
        <f>T74+T75+#REF!+T76+#REF!+#REF!</f>
        <v>#REF!</v>
      </c>
      <c r="U73" s="24">
        <f t="shared" ref="U73:Z73" si="31">U74+U75+U76</f>
        <v>36000</v>
      </c>
      <c r="V73" s="24">
        <f t="shared" si="31"/>
        <v>36000</v>
      </c>
      <c r="W73" s="24">
        <f t="shared" si="31"/>
        <v>18000</v>
      </c>
      <c r="X73" s="24">
        <f t="shared" si="31"/>
        <v>18000</v>
      </c>
      <c r="Y73" s="24">
        <f t="shared" si="31"/>
        <v>18000</v>
      </c>
      <c r="Z73" s="24">
        <f t="shared" si="31"/>
        <v>18000</v>
      </c>
    </row>
    <row r="74" spans="1:26" ht="38.25" customHeight="1">
      <c r="A74" s="1193" t="s">
        <v>137</v>
      </c>
      <c r="B74" s="1194"/>
      <c r="C74" s="1194"/>
      <c r="D74" s="1194"/>
      <c r="E74" s="1194"/>
      <c r="F74" s="1194"/>
      <c r="G74" s="1194"/>
      <c r="H74" s="1194"/>
      <c r="I74" s="1195" t="s">
        <v>138</v>
      </c>
      <c r="J74" s="1108">
        <v>36000</v>
      </c>
      <c r="K74" s="1196">
        <v>27000</v>
      </c>
      <c r="L74" s="1192" t="s">
        <v>139</v>
      </c>
      <c r="M74" s="30" t="s">
        <v>140</v>
      </c>
      <c r="N74" s="80" t="s">
        <v>141</v>
      </c>
      <c r="O74" s="128">
        <v>3300</v>
      </c>
      <c r="P74" s="38">
        <v>6.67</v>
      </c>
      <c r="Q74" s="38">
        <f>O74*P74</f>
        <v>22011</v>
      </c>
      <c r="R74" s="129">
        <v>22000</v>
      </c>
      <c r="S74" s="130">
        <v>22000</v>
      </c>
      <c r="T74" s="130">
        <v>22000</v>
      </c>
      <c r="U74" s="39">
        <v>11000</v>
      </c>
      <c r="V74" s="39">
        <f>U74</f>
        <v>11000</v>
      </c>
      <c r="W74" s="39">
        <v>4000</v>
      </c>
      <c r="X74" s="39">
        <f>W74</f>
        <v>4000</v>
      </c>
      <c r="Y74" s="39">
        <v>4000</v>
      </c>
      <c r="Z74" s="40">
        <f>Y74</f>
        <v>4000</v>
      </c>
    </row>
    <row r="75" spans="1:26" ht="68.25" customHeight="1">
      <c r="A75" s="1193"/>
      <c r="B75" s="1194"/>
      <c r="C75" s="1194"/>
      <c r="D75" s="1194"/>
      <c r="E75" s="1194"/>
      <c r="F75" s="1194"/>
      <c r="G75" s="1194"/>
      <c r="H75" s="1194"/>
      <c r="I75" s="1195"/>
      <c r="J75" s="1108"/>
      <c r="K75" s="1196"/>
      <c r="L75" s="1192"/>
      <c r="M75" s="30" t="s">
        <v>142</v>
      </c>
      <c r="N75" s="80" t="s">
        <v>70</v>
      </c>
      <c r="O75" s="128">
        <v>4</v>
      </c>
      <c r="P75" s="38">
        <v>8800</v>
      </c>
      <c r="Q75" s="38">
        <f>O75*P75</f>
        <v>35200</v>
      </c>
      <c r="R75" s="129">
        <v>35200</v>
      </c>
      <c r="S75" s="130">
        <v>35200</v>
      </c>
      <c r="T75" s="130">
        <v>35200</v>
      </c>
      <c r="U75" s="39">
        <v>16000</v>
      </c>
      <c r="V75" s="39">
        <f>U75</f>
        <v>16000</v>
      </c>
      <c r="W75" s="39">
        <v>5000</v>
      </c>
      <c r="X75" s="39">
        <f>W75</f>
        <v>5000</v>
      </c>
      <c r="Y75" s="39">
        <v>5000</v>
      </c>
      <c r="Z75" s="40">
        <f>Y75</f>
        <v>5000</v>
      </c>
    </row>
    <row r="76" spans="1:26" ht="55.5" customHeight="1">
      <c r="A76" s="1193"/>
      <c r="B76" s="1194"/>
      <c r="C76" s="1194"/>
      <c r="D76" s="1194"/>
      <c r="E76" s="1194"/>
      <c r="F76" s="1194"/>
      <c r="G76" s="1194"/>
      <c r="H76" s="1194"/>
      <c r="I76" s="1195"/>
      <c r="J76" s="1108"/>
      <c r="K76" s="1196"/>
      <c r="L76" s="1192"/>
      <c r="M76" s="30" t="s">
        <v>143</v>
      </c>
      <c r="N76" s="80" t="s">
        <v>144</v>
      </c>
      <c r="O76" s="128">
        <v>1</v>
      </c>
      <c r="P76" s="38">
        <v>15000</v>
      </c>
      <c r="Q76" s="38">
        <v>15000</v>
      </c>
      <c r="R76" s="129">
        <v>15000</v>
      </c>
      <c r="S76" s="130">
        <v>15000</v>
      </c>
      <c r="T76" s="130">
        <v>15000</v>
      </c>
      <c r="U76" s="39">
        <v>9000</v>
      </c>
      <c r="V76" s="39">
        <f>U76</f>
        <v>9000</v>
      </c>
      <c r="W76" s="39">
        <v>9000</v>
      </c>
      <c r="X76" s="39">
        <f>W76</f>
        <v>9000</v>
      </c>
      <c r="Y76" s="39">
        <v>9000</v>
      </c>
      <c r="Z76" s="40">
        <f>Y76</f>
        <v>9000</v>
      </c>
    </row>
    <row r="77" spans="1:26" ht="99.75" customHeight="1">
      <c r="A77" s="957" t="s">
        <v>145</v>
      </c>
      <c r="B77" s="1187" t="s">
        <v>22</v>
      </c>
      <c r="C77" s="1187" t="s">
        <v>146</v>
      </c>
      <c r="D77" s="1187" t="s">
        <v>147</v>
      </c>
      <c r="E77" s="1187" t="s">
        <v>25</v>
      </c>
      <c r="F77" s="1187" t="s">
        <v>148</v>
      </c>
      <c r="G77" s="1187" t="s">
        <v>149</v>
      </c>
      <c r="H77" s="1187" t="s">
        <v>28</v>
      </c>
      <c r="I77" s="1188" t="s">
        <v>150</v>
      </c>
      <c r="J77" s="1190">
        <f>J79+J80+J81+J82+J83+J84+J85+J86+J87+J88+J89+J90+J91+J92+J93+J94+J95+J96+J97+J98+J99+J100+J101+J102+J103+J104+J105+J106+J107+J108+J109</f>
        <v>14278073.059999997</v>
      </c>
      <c r="K77" s="1183">
        <f>K79+K80+K81+K82+K83+K84+K85+K86+K87+K88+K89+K90+K91+K92+K93+K94+K95+K96+K97+K98+K99+K100+K101+K102+K103+K104+K105+K106+K107+K108+K109+K110</f>
        <v>50788797.692454621</v>
      </c>
      <c r="L77" s="1191" t="s">
        <v>32</v>
      </c>
      <c r="M77" s="1184"/>
      <c r="N77" s="1186"/>
      <c r="O77" s="1183"/>
      <c r="P77" s="1183"/>
      <c r="Q77" s="1183">
        <f>Q79+Q80+Q81+Q82+Q83+Q84+Q85+Q86+Q87+Q88+Q89+Q90+Q91+Q92+Q93+Q94+Q95+Q96+Q97+Q98+Q99+Q100+Q101+Q102+Q103+Q104+Q105+Q106+Q107+Q108+Q109+Q110</f>
        <v>35791203</v>
      </c>
      <c r="R77" s="1183">
        <f t="shared" ref="R77:Z77" si="32">SUM(R79:R110)</f>
        <v>35791203</v>
      </c>
      <c r="S77" s="1183">
        <f t="shared" si="32"/>
        <v>35791203</v>
      </c>
      <c r="T77" s="1183">
        <f t="shared" si="32"/>
        <v>35791203</v>
      </c>
      <c r="U77" s="1179">
        <f t="shared" si="32"/>
        <v>37174936.679999992</v>
      </c>
      <c r="V77" s="1179">
        <f t="shared" si="32"/>
        <v>37174936.679999992</v>
      </c>
      <c r="W77" s="1179">
        <f>SUM(W79:W110)</f>
        <v>36033398</v>
      </c>
      <c r="X77" s="1179">
        <f t="shared" si="32"/>
        <v>36033398</v>
      </c>
      <c r="Y77" s="1179">
        <f>SUM(Y79:Y110)</f>
        <v>36572998</v>
      </c>
      <c r="Z77" s="1179">
        <f t="shared" si="32"/>
        <v>36572998</v>
      </c>
    </row>
    <row r="78" spans="1:26" ht="189" customHeight="1">
      <c r="A78" s="958"/>
      <c r="B78" s="1187"/>
      <c r="C78" s="1187"/>
      <c r="D78" s="1187"/>
      <c r="E78" s="1187"/>
      <c r="F78" s="1187"/>
      <c r="G78" s="1187"/>
      <c r="H78" s="1187"/>
      <c r="I78" s="1189"/>
      <c r="J78" s="1190"/>
      <c r="K78" s="1183"/>
      <c r="L78" s="1191"/>
      <c r="M78" s="1185"/>
      <c r="N78" s="1186"/>
      <c r="O78" s="1183"/>
      <c r="P78" s="1183"/>
      <c r="Q78" s="1183"/>
      <c r="R78" s="1183"/>
      <c r="S78" s="1183"/>
      <c r="T78" s="1183"/>
      <c r="U78" s="1179"/>
      <c r="V78" s="1179"/>
      <c r="W78" s="1179"/>
      <c r="X78" s="1179"/>
      <c r="Y78" s="1179"/>
      <c r="Z78" s="1179"/>
    </row>
    <row r="79" spans="1:26" ht="46.5" customHeight="1">
      <c r="A79" s="131" t="s">
        <v>151</v>
      </c>
      <c r="B79" s="990"/>
      <c r="C79" s="990"/>
      <c r="D79" s="990"/>
      <c r="E79" s="990"/>
      <c r="F79" s="990"/>
      <c r="G79" s="990"/>
      <c r="H79" s="990"/>
      <c r="I79" s="982" t="s">
        <v>152</v>
      </c>
      <c r="J79" s="132">
        <v>1304545.75</v>
      </c>
      <c r="K79" s="133">
        <v>2273092.1</v>
      </c>
      <c r="L79" s="134"/>
      <c r="M79" s="1180"/>
      <c r="N79" s="135"/>
      <c r="O79" s="79">
        <v>23540</v>
      </c>
      <c r="P79" s="79">
        <f>ROUND(Q79/O79,2)</f>
        <v>96.58</v>
      </c>
      <c r="Q79" s="79">
        <v>2273437.5</v>
      </c>
      <c r="R79" s="136">
        <v>2273437.5</v>
      </c>
      <c r="S79" s="136">
        <v>2273437.5</v>
      </c>
      <c r="T79" s="136">
        <v>2273437.5</v>
      </c>
      <c r="U79" s="137">
        <v>3065437.5</v>
      </c>
      <c r="V79" s="137">
        <f>U79</f>
        <v>3065437.5</v>
      </c>
      <c r="W79" s="39">
        <v>2273437.5</v>
      </c>
      <c r="X79" s="39">
        <v>2273437.5</v>
      </c>
      <c r="Y79" s="39">
        <v>2273437.5</v>
      </c>
      <c r="Z79" s="40">
        <v>2273437.5</v>
      </c>
    </row>
    <row r="80" spans="1:26" ht="45" customHeight="1">
      <c r="A80" s="131" t="s">
        <v>153</v>
      </c>
      <c r="B80" s="990"/>
      <c r="C80" s="990"/>
      <c r="D80" s="990"/>
      <c r="E80" s="990"/>
      <c r="F80" s="990"/>
      <c r="G80" s="990"/>
      <c r="H80" s="990"/>
      <c r="I80" s="982"/>
      <c r="J80" s="132">
        <v>1251347</v>
      </c>
      <c r="K80" s="133">
        <v>1583583.3</v>
      </c>
      <c r="L80" s="134"/>
      <c r="M80" s="1181"/>
      <c r="N80" s="135"/>
      <c r="O80" s="79">
        <v>15980</v>
      </c>
      <c r="P80" s="79">
        <f t="shared" ref="P80:P109" si="33">ROUND(Q80/O80,2)</f>
        <v>152.83000000000001</v>
      </c>
      <c r="Q80" s="79">
        <v>2442159.2000000002</v>
      </c>
      <c r="R80" s="136">
        <v>2442159.2000000002</v>
      </c>
      <c r="S80" s="136">
        <v>2442159.2000000002</v>
      </c>
      <c r="T80" s="136">
        <v>2442159.2000000002</v>
      </c>
      <c r="U80" s="137">
        <v>1543046.68</v>
      </c>
      <c r="V80" s="137">
        <f t="shared" ref="V80:V110" si="34">U80</f>
        <v>1543046.68</v>
      </c>
      <c r="W80" s="39">
        <v>2442159.2000000002</v>
      </c>
      <c r="X80" s="39">
        <v>2442159.2000000002</v>
      </c>
      <c r="Y80" s="39">
        <v>2442159.2000000002</v>
      </c>
      <c r="Z80" s="40">
        <v>2442159.2000000002</v>
      </c>
    </row>
    <row r="81" spans="1:26" ht="39.75" customHeight="1">
      <c r="A81" s="131" t="s">
        <v>154</v>
      </c>
      <c r="B81" s="990"/>
      <c r="C81" s="990"/>
      <c r="D81" s="990"/>
      <c r="E81" s="990"/>
      <c r="F81" s="990"/>
      <c r="G81" s="990"/>
      <c r="H81" s="990"/>
      <c r="I81" s="982"/>
      <c r="J81" s="132">
        <v>1383873.37</v>
      </c>
      <c r="K81" s="133">
        <v>1385635.359116022</v>
      </c>
      <c r="L81" s="134"/>
      <c r="M81" s="1181"/>
      <c r="N81" s="138"/>
      <c r="O81" s="79">
        <f>6000+7000</f>
        <v>13000</v>
      </c>
      <c r="P81" s="79">
        <f t="shared" si="33"/>
        <v>99.04</v>
      </c>
      <c r="Q81" s="79">
        <v>1287540</v>
      </c>
      <c r="R81" s="79">
        <v>1287540</v>
      </c>
      <c r="S81" s="79">
        <v>1287540</v>
      </c>
      <c r="T81" s="79">
        <v>1287540</v>
      </c>
      <c r="U81" s="139">
        <v>1287540</v>
      </c>
      <c r="V81" s="137">
        <f t="shared" si="34"/>
        <v>1287540</v>
      </c>
      <c r="W81" s="39">
        <v>1287540</v>
      </c>
      <c r="X81" s="39">
        <v>1287540</v>
      </c>
      <c r="Y81" s="39">
        <v>1287540</v>
      </c>
      <c r="Z81" s="40">
        <v>1287540</v>
      </c>
    </row>
    <row r="82" spans="1:26" ht="89.25" customHeight="1">
      <c r="A82" s="131" t="s">
        <v>155</v>
      </c>
      <c r="B82" s="990"/>
      <c r="C82" s="990"/>
      <c r="D82" s="990"/>
      <c r="E82" s="990"/>
      <c r="F82" s="990"/>
      <c r="G82" s="990"/>
      <c r="H82" s="990"/>
      <c r="I82" s="982"/>
      <c r="J82" s="132">
        <v>1469517.42</v>
      </c>
      <c r="K82" s="133">
        <v>4159509.3133385954</v>
      </c>
      <c r="L82" s="134"/>
      <c r="M82" s="1181"/>
      <c r="N82" s="135"/>
      <c r="O82" s="79">
        <v>2788</v>
      </c>
      <c r="P82" s="79">
        <f t="shared" si="33"/>
        <v>1117.68</v>
      </c>
      <c r="Q82" s="79">
        <v>3116102.5</v>
      </c>
      <c r="R82" s="136">
        <v>3116102.5</v>
      </c>
      <c r="S82" s="136">
        <v>3116102.5</v>
      </c>
      <c r="T82" s="136">
        <v>3116102.5</v>
      </c>
      <c r="U82" s="137">
        <v>3115746.92</v>
      </c>
      <c r="V82" s="137">
        <f t="shared" si="34"/>
        <v>3115746.92</v>
      </c>
      <c r="W82" s="39">
        <v>3116102.5</v>
      </c>
      <c r="X82" s="39">
        <v>3116102.5</v>
      </c>
      <c r="Y82" s="39">
        <v>3116102.5</v>
      </c>
      <c r="Z82" s="40">
        <v>3116102.5</v>
      </c>
    </row>
    <row r="83" spans="1:26" ht="46.5" customHeight="1">
      <c r="A83" s="131" t="s">
        <v>156</v>
      </c>
      <c r="B83" s="990"/>
      <c r="C83" s="990"/>
      <c r="D83" s="990"/>
      <c r="E83" s="990"/>
      <c r="F83" s="990"/>
      <c r="G83" s="990"/>
      <c r="H83" s="990"/>
      <c r="I83" s="982"/>
      <c r="J83" s="132">
        <v>316716.98</v>
      </c>
      <c r="K83" s="133">
        <v>854150</v>
      </c>
      <c r="L83" s="134"/>
      <c r="M83" s="1181"/>
      <c r="N83" s="135"/>
      <c r="O83" s="79">
        <v>3662</v>
      </c>
      <c r="P83" s="79">
        <f t="shared" si="33"/>
        <v>317.64</v>
      </c>
      <c r="Q83" s="79">
        <v>1163210.5</v>
      </c>
      <c r="R83" s="136">
        <v>1163210.5</v>
      </c>
      <c r="S83" s="136">
        <v>1163210.5</v>
      </c>
      <c r="T83" s="136">
        <v>1163210.5</v>
      </c>
      <c r="U83" s="137">
        <v>1163210.5</v>
      </c>
      <c r="V83" s="137">
        <f t="shared" si="34"/>
        <v>1163210.5</v>
      </c>
      <c r="W83" s="39">
        <v>1163210.5</v>
      </c>
      <c r="X83" s="39">
        <v>1163210.5</v>
      </c>
      <c r="Y83" s="39">
        <v>1163210.5</v>
      </c>
      <c r="Z83" s="40">
        <v>1163210.5</v>
      </c>
    </row>
    <row r="84" spans="1:26" ht="46.5" customHeight="1">
      <c r="A84" s="131" t="s">
        <v>157</v>
      </c>
      <c r="B84" s="990"/>
      <c r="C84" s="990"/>
      <c r="D84" s="990"/>
      <c r="E84" s="990"/>
      <c r="F84" s="990"/>
      <c r="G84" s="990"/>
      <c r="H84" s="990"/>
      <c r="I84" s="982"/>
      <c r="J84" s="132">
        <v>321494.09999999998</v>
      </c>
      <c r="K84" s="133">
        <v>779750</v>
      </c>
      <c r="L84" s="134"/>
      <c r="M84" s="1181"/>
      <c r="N84" s="138"/>
      <c r="O84" s="79">
        <v>2590</v>
      </c>
      <c r="P84" s="79">
        <f t="shared" si="33"/>
        <v>160.13</v>
      </c>
      <c r="Q84" s="79">
        <v>414735</v>
      </c>
      <c r="R84" s="136">
        <v>414735</v>
      </c>
      <c r="S84" s="136">
        <v>414735</v>
      </c>
      <c r="T84" s="136">
        <v>414735</v>
      </c>
      <c r="U84" s="137">
        <v>414735</v>
      </c>
      <c r="V84" s="137">
        <f t="shared" si="34"/>
        <v>414735</v>
      </c>
      <c r="W84" s="39">
        <v>414735</v>
      </c>
      <c r="X84" s="39">
        <v>414735</v>
      </c>
      <c r="Y84" s="39">
        <v>414735</v>
      </c>
      <c r="Z84" s="40">
        <v>414735</v>
      </c>
    </row>
    <row r="85" spans="1:26" ht="46.5" customHeight="1">
      <c r="A85" s="131" t="s">
        <v>158</v>
      </c>
      <c r="B85" s="990"/>
      <c r="C85" s="990"/>
      <c r="D85" s="990"/>
      <c r="E85" s="990"/>
      <c r="F85" s="990"/>
      <c r="G85" s="990"/>
      <c r="H85" s="990"/>
      <c r="I85" s="982"/>
      <c r="J85" s="132">
        <v>296559</v>
      </c>
      <c r="K85" s="133">
        <v>605850</v>
      </c>
      <c r="L85" s="134"/>
      <c r="M85" s="1181"/>
      <c r="N85" s="135"/>
      <c r="O85" s="79">
        <v>2075</v>
      </c>
      <c r="P85" s="79">
        <f t="shared" si="33"/>
        <v>193.54</v>
      </c>
      <c r="Q85" s="79">
        <v>401590</v>
      </c>
      <c r="R85" s="136">
        <v>401590</v>
      </c>
      <c r="S85" s="136">
        <v>401590</v>
      </c>
      <c r="T85" s="136">
        <v>401590</v>
      </c>
      <c r="U85" s="137">
        <v>401590</v>
      </c>
      <c r="V85" s="137">
        <f t="shared" si="34"/>
        <v>401590</v>
      </c>
      <c r="W85" s="39">
        <v>401590</v>
      </c>
      <c r="X85" s="39">
        <v>401590</v>
      </c>
      <c r="Y85" s="39">
        <v>401590</v>
      </c>
      <c r="Z85" s="40">
        <v>401590</v>
      </c>
    </row>
    <row r="86" spans="1:26" ht="60.75" customHeight="1">
      <c r="A86" s="131" t="s">
        <v>159</v>
      </c>
      <c r="B86" s="990"/>
      <c r="C86" s="990"/>
      <c r="D86" s="990"/>
      <c r="E86" s="990"/>
      <c r="F86" s="990"/>
      <c r="G86" s="990"/>
      <c r="H86" s="990"/>
      <c r="I86" s="982"/>
      <c r="J86" s="132">
        <v>353527</v>
      </c>
      <c r="K86" s="133">
        <v>535600</v>
      </c>
      <c r="L86" s="134"/>
      <c r="M86" s="1181"/>
      <c r="N86" s="135"/>
      <c r="O86" s="79">
        <v>2317</v>
      </c>
      <c r="P86" s="79">
        <f t="shared" si="33"/>
        <v>115.73</v>
      </c>
      <c r="Q86" s="79">
        <v>268148</v>
      </c>
      <c r="R86" s="136">
        <v>268148</v>
      </c>
      <c r="S86" s="136">
        <v>268148</v>
      </c>
      <c r="T86" s="136">
        <v>268148</v>
      </c>
      <c r="U86" s="137">
        <v>268148</v>
      </c>
      <c r="V86" s="137">
        <f t="shared" si="34"/>
        <v>268148</v>
      </c>
      <c r="W86" s="39">
        <v>268148</v>
      </c>
      <c r="X86" s="39">
        <v>268148</v>
      </c>
      <c r="Y86" s="39">
        <v>268148</v>
      </c>
      <c r="Z86" s="40">
        <v>268148</v>
      </c>
    </row>
    <row r="87" spans="1:26" ht="46.5" customHeight="1">
      <c r="A87" s="131" t="s">
        <v>160</v>
      </c>
      <c r="B87" s="990"/>
      <c r="C87" s="990"/>
      <c r="D87" s="990"/>
      <c r="E87" s="990"/>
      <c r="F87" s="990"/>
      <c r="G87" s="990"/>
      <c r="H87" s="990"/>
      <c r="I87" s="982"/>
      <c r="J87" s="132">
        <v>227241.12</v>
      </c>
      <c r="K87" s="133">
        <v>527250</v>
      </c>
      <c r="L87" s="134"/>
      <c r="M87" s="1181"/>
      <c r="N87" s="138"/>
      <c r="O87" s="79">
        <v>2044</v>
      </c>
      <c r="P87" s="79">
        <f t="shared" si="33"/>
        <v>101.87</v>
      </c>
      <c r="Q87" s="79">
        <v>208217.4</v>
      </c>
      <c r="R87" s="136">
        <v>208217.4</v>
      </c>
      <c r="S87" s="136">
        <v>208217.4</v>
      </c>
      <c r="T87" s="136">
        <v>208217.4</v>
      </c>
      <c r="U87" s="137">
        <v>593192.32999999996</v>
      </c>
      <c r="V87" s="137">
        <f t="shared" si="34"/>
        <v>593192.32999999996</v>
      </c>
      <c r="W87" s="39">
        <v>208217.4</v>
      </c>
      <c r="X87" s="39">
        <v>208217.4</v>
      </c>
      <c r="Y87" s="39">
        <v>208217.4</v>
      </c>
      <c r="Z87" s="39">
        <v>208217.4</v>
      </c>
    </row>
    <row r="88" spans="1:26" ht="66.75" customHeight="1">
      <c r="A88" s="131" t="s">
        <v>161</v>
      </c>
      <c r="B88" s="990"/>
      <c r="C88" s="990"/>
      <c r="D88" s="990"/>
      <c r="E88" s="990"/>
      <c r="F88" s="990"/>
      <c r="G88" s="990"/>
      <c r="H88" s="990"/>
      <c r="I88" s="982"/>
      <c r="J88" s="132">
        <v>151655.66</v>
      </c>
      <c r="K88" s="133">
        <v>701500</v>
      </c>
      <c r="L88" s="134"/>
      <c r="M88" s="1181"/>
      <c r="N88" s="138"/>
      <c r="O88" s="79">
        <v>2560</v>
      </c>
      <c r="P88" s="79">
        <f t="shared" si="33"/>
        <v>219.92</v>
      </c>
      <c r="Q88" s="79">
        <v>563000</v>
      </c>
      <c r="R88" s="136">
        <v>563000</v>
      </c>
      <c r="S88" s="136">
        <v>563000</v>
      </c>
      <c r="T88" s="136">
        <v>563000</v>
      </c>
      <c r="U88" s="137">
        <v>563000</v>
      </c>
      <c r="V88" s="137">
        <f t="shared" si="34"/>
        <v>563000</v>
      </c>
      <c r="W88" s="39">
        <v>563000</v>
      </c>
      <c r="X88" s="39">
        <v>563000</v>
      </c>
      <c r="Y88" s="39">
        <v>563000</v>
      </c>
      <c r="Z88" s="40">
        <v>563000</v>
      </c>
    </row>
    <row r="89" spans="1:26" ht="46.5" customHeight="1">
      <c r="A89" s="131" t="s">
        <v>162</v>
      </c>
      <c r="B89" s="990"/>
      <c r="C89" s="990"/>
      <c r="D89" s="990"/>
      <c r="E89" s="990"/>
      <c r="F89" s="990"/>
      <c r="G89" s="990"/>
      <c r="H89" s="990"/>
      <c r="I89" s="982"/>
      <c r="J89" s="78">
        <v>16757.25</v>
      </c>
      <c r="K89" s="133">
        <v>228950</v>
      </c>
      <c r="L89" s="134"/>
      <c r="M89" s="1181"/>
      <c r="N89" s="138"/>
      <c r="O89" s="79">
        <v>107</v>
      </c>
      <c r="P89" s="79">
        <f t="shared" si="33"/>
        <v>1979.25</v>
      </c>
      <c r="Q89" s="79">
        <v>211779.7</v>
      </c>
      <c r="R89" s="79">
        <v>211779.7</v>
      </c>
      <c r="S89" s="79">
        <v>211779.7</v>
      </c>
      <c r="T89" s="79">
        <v>211779.7</v>
      </c>
      <c r="U89" s="139">
        <v>211779.7</v>
      </c>
      <c r="V89" s="137">
        <f t="shared" si="34"/>
        <v>211779.7</v>
      </c>
      <c r="W89" s="39">
        <v>211779.7</v>
      </c>
      <c r="X89" s="39">
        <v>211779.7</v>
      </c>
      <c r="Y89" s="39">
        <v>211779.7</v>
      </c>
      <c r="Z89" s="40">
        <v>211779.7</v>
      </c>
    </row>
    <row r="90" spans="1:26" ht="46.5" customHeight="1">
      <c r="A90" s="131" t="s">
        <v>163</v>
      </c>
      <c r="B90" s="990"/>
      <c r="C90" s="990"/>
      <c r="D90" s="990"/>
      <c r="E90" s="990"/>
      <c r="F90" s="990"/>
      <c r="G90" s="990"/>
      <c r="H90" s="990"/>
      <c r="I90" s="982"/>
      <c r="J90" s="132">
        <v>287604</v>
      </c>
      <c r="K90" s="133">
        <v>658000</v>
      </c>
      <c r="L90" s="134"/>
      <c r="M90" s="1181"/>
      <c r="N90" s="138"/>
      <c r="O90" s="79">
        <v>2185</v>
      </c>
      <c r="P90" s="79">
        <f t="shared" si="33"/>
        <v>240.85</v>
      </c>
      <c r="Q90" s="79">
        <v>526261.9</v>
      </c>
      <c r="R90" s="136">
        <v>526261.9</v>
      </c>
      <c r="S90" s="136">
        <v>526261.9</v>
      </c>
      <c r="T90" s="136">
        <v>526261.9</v>
      </c>
      <c r="U90" s="137">
        <v>692961.9</v>
      </c>
      <c r="V90" s="137">
        <f t="shared" si="34"/>
        <v>692961.9</v>
      </c>
      <c r="W90" s="39">
        <v>526261.9</v>
      </c>
      <c r="X90" s="39">
        <v>526261.9</v>
      </c>
      <c r="Y90" s="39">
        <v>526261.9</v>
      </c>
      <c r="Z90" s="40">
        <v>526261.9</v>
      </c>
    </row>
    <row r="91" spans="1:26" ht="61.5" customHeight="1">
      <c r="A91" s="131" t="s">
        <v>164</v>
      </c>
      <c r="B91" s="990"/>
      <c r="C91" s="990"/>
      <c r="D91" s="990"/>
      <c r="E91" s="990"/>
      <c r="F91" s="990"/>
      <c r="G91" s="990"/>
      <c r="H91" s="990"/>
      <c r="I91" s="982"/>
      <c r="J91" s="132">
        <v>109040.26</v>
      </c>
      <c r="K91" s="133">
        <v>212900</v>
      </c>
      <c r="L91" s="134"/>
      <c r="M91" s="1181"/>
      <c r="N91" s="135"/>
      <c r="O91" s="79">
        <v>570</v>
      </c>
      <c r="P91" s="79">
        <f t="shared" si="33"/>
        <v>375.23</v>
      </c>
      <c r="Q91" s="79">
        <v>213879.2</v>
      </c>
      <c r="R91" s="136">
        <v>213879.2</v>
      </c>
      <c r="S91" s="136">
        <v>213879.2</v>
      </c>
      <c r="T91" s="136">
        <v>213879.2</v>
      </c>
      <c r="U91" s="137">
        <v>213879.2</v>
      </c>
      <c r="V91" s="137">
        <f t="shared" si="34"/>
        <v>213879.2</v>
      </c>
      <c r="W91" s="39">
        <v>213879.2</v>
      </c>
      <c r="X91" s="39">
        <v>213879.2</v>
      </c>
      <c r="Y91" s="39">
        <v>213879.2</v>
      </c>
      <c r="Z91" s="40">
        <v>213879.2</v>
      </c>
    </row>
    <row r="92" spans="1:26" ht="67.5" customHeight="1">
      <c r="A92" s="131" t="s">
        <v>165</v>
      </c>
      <c r="B92" s="990"/>
      <c r="C92" s="990"/>
      <c r="D92" s="990"/>
      <c r="E92" s="990"/>
      <c r="F92" s="990"/>
      <c r="G92" s="990"/>
      <c r="H92" s="990"/>
      <c r="I92" s="982"/>
      <c r="J92" s="132">
        <v>129688</v>
      </c>
      <c r="K92" s="133">
        <v>279300</v>
      </c>
      <c r="L92" s="134"/>
      <c r="M92" s="1181"/>
      <c r="N92" s="135"/>
      <c r="O92" s="79">
        <v>850</v>
      </c>
      <c r="P92" s="79">
        <f t="shared" si="33"/>
        <v>219.14</v>
      </c>
      <c r="Q92" s="136">
        <v>186265.60000000001</v>
      </c>
      <c r="R92" s="136">
        <v>186265.60000000001</v>
      </c>
      <c r="S92" s="136">
        <v>186265.60000000001</v>
      </c>
      <c r="T92" s="136">
        <v>186265.60000000001</v>
      </c>
      <c r="U92" s="137">
        <v>172967.38</v>
      </c>
      <c r="V92" s="137">
        <f t="shared" si="34"/>
        <v>172967.38</v>
      </c>
      <c r="W92" s="39">
        <v>186265.60000000001</v>
      </c>
      <c r="X92" s="39">
        <v>186265.60000000001</v>
      </c>
      <c r="Y92" s="39">
        <v>186265.60000000001</v>
      </c>
      <c r="Z92" s="40">
        <v>186265.60000000001</v>
      </c>
    </row>
    <row r="93" spans="1:26" ht="46.5" customHeight="1">
      <c r="A93" s="131" t="s">
        <v>166</v>
      </c>
      <c r="B93" s="990"/>
      <c r="C93" s="990"/>
      <c r="D93" s="990"/>
      <c r="E93" s="990"/>
      <c r="F93" s="990"/>
      <c r="G93" s="990"/>
      <c r="H93" s="990"/>
      <c r="I93" s="982"/>
      <c r="J93" s="132">
        <v>421947</v>
      </c>
      <c r="K93" s="133">
        <v>1020950</v>
      </c>
      <c r="L93" s="134"/>
      <c r="M93" s="1181"/>
      <c r="N93" s="135"/>
      <c r="O93" s="86">
        <v>3620</v>
      </c>
      <c r="P93" s="79">
        <f t="shared" si="33"/>
        <v>188.59</v>
      </c>
      <c r="Q93" s="79">
        <v>682711.2</v>
      </c>
      <c r="R93" s="136">
        <v>682711.2</v>
      </c>
      <c r="S93" s="136">
        <v>682711.2</v>
      </c>
      <c r="T93" s="136">
        <v>682711.2</v>
      </c>
      <c r="U93" s="137">
        <v>682711.2</v>
      </c>
      <c r="V93" s="137">
        <f t="shared" si="34"/>
        <v>682711.2</v>
      </c>
      <c r="W93" s="39">
        <v>682711.2</v>
      </c>
      <c r="X93" s="39">
        <v>682711.2</v>
      </c>
      <c r="Y93" s="39">
        <v>682711.2</v>
      </c>
      <c r="Z93" s="40">
        <v>682711.2</v>
      </c>
    </row>
    <row r="94" spans="1:26" ht="46.5" customHeight="1">
      <c r="A94" s="131" t="s">
        <v>167</v>
      </c>
      <c r="B94" s="990"/>
      <c r="C94" s="990"/>
      <c r="D94" s="990"/>
      <c r="E94" s="990"/>
      <c r="F94" s="990"/>
      <c r="G94" s="990"/>
      <c r="H94" s="990"/>
      <c r="I94" s="982"/>
      <c r="J94" s="137">
        <v>1508183.92</v>
      </c>
      <c r="K94" s="133">
        <v>3918700</v>
      </c>
      <c r="L94" s="140"/>
      <c r="M94" s="1181"/>
      <c r="N94" s="138"/>
      <c r="O94" s="79">
        <v>1386</v>
      </c>
      <c r="P94" s="79">
        <f t="shared" si="33"/>
        <v>2988.06</v>
      </c>
      <c r="Q94" s="79">
        <v>4141456.9</v>
      </c>
      <c r="R94" s="79">
        <v>4141456.9</v>
      </c>
      <c r="S94" s="79">
        <v>4141456.9</v>
      </c>
      <c r="T94" s="79">
        <v>4141456.9</v>
      </c>
      <c r="U94" s="139">
        <v>2785250.8</v>
      </c>
      <c r="V94" s="137">
        <f t="shared" si="34"/>
        <v>2785250.8</v>
      </c>
      <c r="W94" s="39">
        <v>4141456.9</v>
      </c>
      <c r="X94" s="39">
        <v>4141456.9</v>
      </c>
      <c r="Y94" s="39">
        <v>4141456.9</v>
      </c>
      <c r="Z94" s="40">
        <v>4141456.9</v>
      </c>
    </row>
    <row r="95" spans="1:26" ht="72" customHeight="1">
      <c r="A95" s="131" t="s">
        <v>168</v>
      </c>
      <c r="B95" s="990"/>
      <c r="C95" s="990"/>
      <c r="D95" s="990"/>
      <c r="E95" s="990"/>
      <c r="F95" s="990"/>
      <c r="G95" s="990"/>
      <c r="H95" s="990"/>
      <c r="I95" s="982"/>
      <c r="J95" s="132">
        <v>230261.7</v>
      </c>
      <c r="K95" s="133">
        <v>507600</v>
      </c>
      <c r="L95" s="134"/>
      <c r="M95" s="1181"/>
      <c r="N95" s="135"/>
      <c r="O95" s="79">
        <v>1820</v>
      </c>
      <c r="P95" s="79">
        <f t="shared" si="33"/>
        <v>250</v>
      </c>
      <c r="Q95" s="79">
        <v>455005.2</v>
      </c>
      <c r="R95" s="136">
        <v>455005.2</v>
      </c>
      <c r="S95" s="136">
        <v>455005.2</v>
      </c>
      <c r="T95" s="136">
        <v>455005.2</v>
      </c>
      <c r="U95" s="137">
        <v>455005.2</v>
      </c>
      <c r="V95" s="137">
        <f t="shared" si="34"/>
        <v>455005.2</v>
      </c>
      <c r="W95" s="39">
        <v>455005.2</v>
      </c>
      <c r="X95" s="39">
        <v>455005.2</v>
      </c>
      <c r="Y95" s="39">
        <v>455005.2</v>
      </c>
      <c r="Z95" s="40">
        <v>455005.2</v>
      </c>
    </row>
    <row r="96" spans="1:26" ht="46.5" customHeight="1">
      <c r="A96" s="131" t="s">
        <v>169</v>
      </c>
      <c r="B96" s="990"/>
      <c r="C96" s="990"/>
      <c r="D96" s="990"/>
      <c r="E96" s="990"/>
      <c r="F96" s="990"/>
      <c r="G96" s="990"/>
      <c r="H96" s="990"/>
      <c r="I96" s="982"/>
      <c r="J96" s="132">
        <v>1347600</v>
      </c>
      <c r="K96" s="133">
        <v>2850200</v>
      </c>
      <c r="L96" s="134"/>
      <c r="M96" s="1181"/>
      <c r="N96" s="138"/>
      <c r="O96" s="79">
        <v>1694</v>
      </c>
      <c r="P96" s="79">
        <f t="shared" si="33"/>
        <v>1084.3599999999999</v>
      </c>
      <c r="Q96" s="79">
        <v>1836909.4</v>
      </c>
      <c r="R96" s="79">
        <v>1836909.4</v>
      </c>
      <c r="S96" s="79">
        <v>1836909.4</v>
      </c>
      <c r="T96" s="79">
        <v>1836909.4</v>
      </c>
      <c r="U96" s="139">
        <v>2129209.21</v>
      </c>
      <c r="V96" s="137">
        <f t="shared" si="34"/>
        <v>2129209.21</v>
      </c>
      <c r="W96" s="39">
        <v>1836909.4</v>
      </c>
      <c r="X96" s="39">
        <v>1836909.4</v>
      </c>
      <c r="Y96" s="39">
        <v>1836909.4</v>
      </c>
      <c r="Z96" s="40">
        <v>1836909.4</v>
      </c>
    </row>
    <row r="97" spans="1:30" ht="66" customHeight="1">
      <c r="A97" s="131" t="s">
        <v>170</v>
      </c>
      <c r="B97" s="990"/>
      <c r="C97" s="990"/>
      <c r="D97" s="990"/>
      <c r="E97" s="990"/>
      <c r="F97" s="990"/>
      <c r="G97" s="990"/>
      <c r="H97" s="990"/>
      <c r="I97" s="982"/>
      <c r="J97" s="132">
        <v>424957</v>
      </c>
      <c r="K97" s="133">
        <v>968200</v>
      </c>
      <c r="L97" s="134"/>
      <c r="M97" s="1181"/>
      <c r="N97" s="135"/>
      <c r="O97" s="79">
        <v>4176</v>
      </c>
      <c r="P97" s="79">
        <f t="shared" si="33"/>
        <v>173.91</v>
      </c>
      <c r="Q97" s="79">
        <v>726263.5</v>
      </c>
      <c r="R97" s="136">
        <v>726263.5</v>
      </c>
      <c r="S97" s="136">
        <v>726263.5</v>
      </c>
      <c r="T97" s="136">
        <v>726263.5</v>
      </c>
      <c r="U97" s="137">
        <v>726263.5</v>
      </c>
      <c r="V97" s="137">
        <f t="shared" si="34"/>
        <v>726263.5</v>
      </c>
      <c r="W97" s="39">
        <v>726263.5</v>
      </c>
      <c r="X97" s="39">
        <v>726263.5</v>
      </c>
      <c r="Y97" s="39">
        <v>726263.5</v>
      </c>
      <c r="Z97" s="40">
        <v>726263.5</v>
      </c>
    </row>
    <row r="98" spans="1:30" ht="66" customHeight="1">
      <c r="A98" s="131" t="s">
        <v>171</v>
      </c>
      <c r="B98" s="990"/>
      <c r="C98" s="990"/>
      <c r="D98" s="990"/>
      <c r="E98" s="990"/>
      <c r="F98" s="990"/>
      <c r="G98" s="990"/>
      <c r="H98" s="990"/>
      <c r="I98" s="982"/>
      <c r="J98" s="132">
        <v>121865.94</v>
      </c>
      <c r="K98" s="133">
        <v>383350</v>
      </c>
      <c r="L98" s="134"/>
      <c r="M98" s="1181"/>
      <c r="N98" s="138"/>
      <c r="O98" s="79">
        <v>1406</v>
      </c>
      <c r="P98" s="79">
        <f t="shared" si="33"/>
        <v>280.83</v>
      </c>
      <c r="Q98" s="79">
        <v>394849.1</v>
      </c>
      <c r="R98" s="136">
        <v>394849.1</v>
      </c>
      <c r="S98" s="136">
        <v>394849.1</v>
      </c>
      <c r="T98" s="136">
        <v>394849.1</v>
      </c>
      <c r="U98" s="137">
        <v>426302.25</v>
      </c>
      <c r="V98" s="137">
        <f t="shared" si="34"/>
        <v>426302.25</v>
      </c>
      <c r="W98" s="39">
        <v>394849.1</v>
      </c>
      <c r="X98" s="39">
        <v>394849.1</v>
      </c>
      <c r="Y98" s="39">
        <v>394849.1</v>
      </c>
      <c r="Z98" s="40">
        <v>394849.1</v>
      </c>
    </row>
    <row r="99" spans="1:30" ht="62.25" customHeight="1">
      <c r="A99" s="131" t="s">
        <v>172</v>
      </c>
      <c r="B99" s="990"/>
      <c r="C99" s="990"/>
      <c r="D99" s="990"/>
      <c r="E99" s="990"/>
      <c r="F99" s="990"/>
      <c r="G99" s="990"/>
      <c r="H99" s="990"/>
      <c r="I99" s="990"/>
      <c r="J99" s="132">
        <v>212294</v>
      </c>
      <c r="K99" s="133">
        <v>740802.76</v>
      </c>
      <c r="L99" s="134"/>
      <c r="M99" s="1181"/>
      <c r="N99" s="138"/>
      <c r="O99" s="79">
        <v>594.97</v>
      </c>
      <c r="P99" s="79">
        <f t="shared" si="33"/>
        <v>622.1</v>
      </c>
      <c r="Q99" s="79">
        <v>370129.5</v>
      </c>
      <c r="R99" s="136">
        <v>370129.5</v>
      </c>
      <c r="S99" s="136">
        <v>370129.5</v>
      </c>
      <c r="T99" s="136">
        <v>370129.5</v>
      </c>
      <c r="U99" s="137">
        <v>487340.02</v>
      </c>
      <c r="V99" s="137">
        <f t="shared" si="34"/>
        <v>487340.02</v>
      </c>
      <c r="W99" s="39">
        <v>370129.5</v>
      </c>
      <c r="X99" s="39">
        <v>370129.5</v>
      </c>
      <c r="Y99" s="39">
        <v>370129.5</v>
      </c>
      <c r="Z99" s="40">
        <v>370129.5</v>
      </c>
    </row>
    <row r="100" spans="1:30" ht="44.25" customHeight="1">
      <c r="A100" s="131" t="s">
        <v>173</v>
      </c>
      <c r="B100" s="990"/>
      <c r="C100" s="990"/>
      <c r="D100" s="990"/>
      <c r="E100" s="990"/>
      <c r="F100" s="990"/>
      <c r="G100" s="990"/>
      <c r="H100" s="990"/>
      <c r="I100" s="990"/>
      <c r="J100" s="132">
        <v>990890</v>
      </c>
      <c r="K100" s="133">
        <v>3506250</v>
      </c>
      <c r="L100" s="134"/>
      <c r="M100" s="1181"/>
      <c r="N100" s="135"/>
      <c r="O100" s="79">
        <v>10050</v>
      </c>
      <c r="P100" s="79">
        <f t="shared" si="33"/>
        <v>198.09</v>
      </c>
      <c r="Q100" s="79">
        <v>1990836</v>
      </c>
      <c r="R100" s="136">
        <v>1990836</v>
      </c>
      <c r="S100" s="136">
        <v>1990836</v>
      </c>
      <c r="T100" s="136">
        <v>1990836</v>
      </c>
      <c r="U100" s="137">
        <v>1058965</v>
      </c>
      <c r="V100" s="137">
        <f t="shared" si="34"/>
        <v>1058965</v>
      </c>
      <c r="W100" s="39">
        <v>1990836</v>
      </c>
      <c r="X100" s="39">
        <v>1990836</v>
      </c>
      <c r="Y100" s="39">
        <v>1990836</v>
      </c>
      <c r="Z100" s="40">
        <v>1990836</v>
      </c>
    </row>
    <row r="101" spans="1:30" ht="43.5" customHeight="1">
      <c r="A101" s="131" t="s">
        <v>174</v>
      </c>
      <c r="B101" s="990"/>
      <c r="C101" s="990"/>
      <c r="D101" s="990"/>
      <c r="E101" s="990"/>
      <c r="F101" s="990"/>
      <c r="G101" s="990"/>
      <c r="H101" s="990"/>
      <c r="I101" s="990"/>
      <c r="J101" s="132">
        <v>254392.75</v>
      </c>
      <c r="K101" s="133">
        <v>668950</v>
      </c>
      <c r="L101" s="134"/>
      <c r="M101" s="1181"/>
      <c r="N101" s="135"/>
      <c r="O101" s="79">
        <v>2653</v>
      </c>
      <c r="P101" s="79">
        <f t="shared" si="33"/>
        <v>251.46</v>
      </c>
      <c r="Q101" s="79">
        <v>667115.30000000005</v>
      </c>
      <c r="R101" s="136">
        <v>667115.30000000005</v>
      </c>
      <c r="S101" s="136">
        <v>667115.30000000005</v>
      </c>
      <c r="T101" s="136">
        <v>667115.30000000005</v>
      </c>
      <c r="U101" s="137">
        <v>667115.30000000005</v>
      </c>
      <c r="V101" s="137">
        <f t="shared" si="34"/>
        <v>667115.30000000005</v>
      </c>
      <c r="W101" s="39">
        <v>667115.30000000005</v>
      </c>
      <c r="X101" s="39">
        <v>667115.30000000005</v>
      </c>
      <c r="Y101" s="39">
        <v>667115.30000000005</v>
      </c>
      <c r="Z101" s="40">
        <v>667115.30000000005</v>
      </c>
    </row>
    <row r="102" spans="1:30" ht="44.25" customHeight="1">
      <c r="A102" s="131" t="s">
        <v>175</v>
      </c>
      <c r="B102" s="990"/>
      <c r="C102" s="990"/>
      <c r="D102" s="990"/>
      <c r="E102" s="990"/>
      <c r="F102" s="990"/>
      <c r="G102" s="990"/>
      <c r="H102" s="990"/>
      <c r="I102" s="990"/>
      <c r="J102" s="132">
        <v>69777.320000000007</v>
      </c>
      <c r="K102" s="133">
        <v>271450</v>
      </c>
      <c r="L102" s="134"/>
      <c r="M102" s="1181"/>
      <c r="N102" s="138"/>
      <c r="O102" s="79">
        <v>696</v>
      </c>
      <c r="P102" s="79">
        <f t="shared" si="33"/>
        <v>404.49</v>
      </c>
      <c r="Q102" s="79">
        <v>281527.90000000002</v>
      </c>
      <c r="R102" s="136">
        <v>281527.90000000002</v>
      </c>
      <c r="S102" s="136">
        <v>281527.90000000002</v>
      </c>
      <c r="T102" s="136">
        <v>281527.90000000002</v>
      </c>
      <c r="U102" s="137">
        <v>281527.90000000002</v>
      </c>
      <c r="V102" s="137">
        <f t="shared" si="34"/>
        <v>281527.90000000002</v>
      </c>
      <c r="W102" s="39">
        <v>281527.90000000002</v>
      </c>
      <c r="X102" s="39">
        <v>281527.90000000002</v>
      </c>
      <c r="Y102" s="39">
        <v>281527.90000000002</v>
      </c>
      <c r="Z102" s="40">
        <v>281527.90000000002</v>
      </c>
    </row>
    <row r="103" spans="1:30" ht="63.75" customHeight="1">
      <c r="A103" s="131" t="s">
        <v>176</v>
      </c>
      <c r="B103" s="990"/>
      <c r="C103" s="990"/>
      <c r="D103" s="990"/>
      <c r="E103" s="990"/>
      <c r="F103" s="990"/>
      <c r="G103" s="990"/>
      <c r="H103" s="990"/>
      <c r="I103" s="990"/>
      <c r="J103" s="132">
        <v>134276.66</v>
      </c>
      <c r="K103" s="133">
        <v>767700</v>
      </c>
      <c r="L103" s="134"/>
      <c r="M103" s="1181"/>
      <c r="N103" s="135"/>
      <c r="O103" s="79">
        <v>2800</v>
      </c>
      <c r="P103" s="79">
        <f t="shared" si="33"/>
        <v>227.94</v>
      </c>
      <c r="Q103" s="79">
        <v>638230.69999999995</v>
      </c>
      <c r="R103" s="136">
        <v>638230.69999999995</v>
      </c>
      <c r="S103" s="136">
        <v>638230.69999999995</v>
      </c>
      <c r="T103" s="136">
        <v>638230.69999999995</v>
      </c>
      <c r="U103" s="137">
        <v>638230.69999999995</v>
      </c>
      <c r="V103" s="137">
        <f t="shared" si="34"/>
        <v>638230.69999999995</v>
      </c>
      <c r="W103" s="39">
        <v>638230.69999999995</v>
      </c>
      <c r="X103" s="39">
        <v>638230.69999999995</v>
      </c>
      <c r="Y103" s="39">
        <v>638230.69999999995</v>
      </c>
      <c r="Z103" s="40">
        <v>638230.69999999995</v>
      </c>
    </row>
    <row r="104" spans="1:30" ht="46.5" customHeight="1">
      <c r="A104" s="131" t="s">
        <v>177</v>
      </c>
      <c r="B104" s="990"/>
      <c r="C104" s="990"/>
      <c r="D104" s="990"/>
      <c r="E104" s="990"/>
      <c r="F104" s="990"/>
      <c r="G104" s="990"/>
      <c r="H104" s="990"/>
      <c r="I104" s="990"/>
      <c r="J104" s="132">
        <v>108008.84</v>
      </c>
      <c r="K104" s="133">
        <v>457350</v>
      </c>
      <c r="L104" s="134"/>
      <c r="M104" s="1181"/>
      <c r="N104" s="135"/>
      <c r="O104" s="79">
        <v>1386</v>
      </c>
      <c r="P104" s="79">
        <f t="shared" si="33"/>
        <v>325.36</v>
      </c>
      <c r="Q104" s="79">
        <v>450943</v>
      </c>
      <c r="R104" s="79">
        <v>450943</v>
      </c>
      <c r="S104" s="79">
        <v>450943</v>
      </c>
      <c r="T104" s="79">
        <v>450943</v>
      </c>
      <c r="U104" s="139">
        <v>320000</v>
      </c>
      <c r="V104" s="137">
        <f t="shared" si="34"/>
        <v>320000</v>
      </c>
      <c r="W104" s="39">
        <v>450943</v>
      </c>
      <c r="X104" s="39">
        <v>450943</v>
      </c>
      <c r="Y104" s="39">
        <v>450943</v>
      </c>
      <c r="Z104" s="40">
        <v>450943</v>
      </c>
    </row>
    <row r="105" spans="1:30" ht="65.25" customHeight="1">
      <c r="A105" s="131" t="s">
        <v>178</v>
      </c>
      <c r="B105" s="990"/>
      <c r="C105" s="990"/>
      <c r="D105" s="990"/>
      <c r="E105" s="990"/>
      <c r="F105" s="990"/>
      <c r="G105" s="990"/>
      <c r="H105" s="990"/>
      <c r="I105" s="990"/>
      <c r="J105" s="132">
        <v>140900</v>
      </c>
      <c r="K105" s="133">
        <v>350450</v>
      </c>
      <c r="L105" s="134"/>
      <c r="M105" s="1181"/>
      <c r="N105" s="135"/>
      <c r="O105" s="79">
        <v>1032</v>
      </c>
      <c r="P105" s="79">
        <f t="shared" si="33"/>
        <v>397.8</v>
      </c>
      <c r="Q105" s="79">
        <v>410525.3</v>
      </c>
      <c r="R105" s="136">
        <v>410525.3</v>
      </c>
      <c r="S105" s="136">
        <v>410525.3</v>
      </c>
      <c r="T105" s="136">
        <v>410525.3</v>
      </c>
      <c r="U105" s="137">
        <v>300000</v>
      </c>
      <c r="V105" s="137">
        <f t="shared" si="34"/>
        <v>300000</v>
      </c>
      <c r="W105" s="39">
        <v>410525.3</v>
      </c>
      <c r="X105" s="39">
        <v>410525.3</v>
      </c>
      <c r="Y105" s="39">
        <v>410525.3</v>
      </c>
      <c r="Z105" s="39">
        <v>410525.3</v>
      </c>
    </row>
    <row r="106" spans="1:30" ht="66.75" customHeight="1">
      <c r="A106" s="131" t="s">
        <v>179</v>
      </c>
      <c r="B106" s="990"/>
      <c r="C106" s="990"/>
      <c r="D106" s="990"/>
      <c r="E106" s="990"/>
      <c r="F106" s="990"/>
      <c r="G106" s="990"/>
      <c r="H106" s="990"/>
      <c r="I106" s="990"/>
      <c r="J106" s="132">
        <v>208598.92</v>
      </c>
      <c r="K106" s="133">
        <v>467650</v>
      </c>
      <c r="L106" s="134"/>
      <c r="M106" s="1181"/>
      <c r="N106" s="138"/>
      <c r="O106" s="79">
        <v>232</v>
      </c>
      <c r="P106" s="79">
        <f t="shared" si="33"/>
        <v>1424.86</v>
      </c>
      <c r="Q106" s="79">
        <v>330568.3</v>
      </c>
      <c r="R106" s="136">
        <v>330568.3</v>
      </c>
      <c r="S106" s="136">
        <v>330568.3</v>
      </c>
      <c r="T106" s="136">
        <v>330568.3</v>
      </c>
      <c r="U106" s="137">
        <v>412634.61</v>
      </c>
      <c r="V106" s="137">
        <f t="shared" si="34"/>
        <v>412634.61</v>
      </c>
      <c r="W106" s="39">
        <v>330568.3</v>
      </c>
      <c r="X106" s="39">
        <v>330568.3</v>
      </c>
      <c r="Y106" s="39">
        <v>330568.3</v>
      </c>
      <c r="Z106" s="40">
        <v>330568.3</v>
      </c>
    </row>
    <row r="107" spans="1:30" ht="42" customHeight="1">
      <c r="A107" s="131" t="s">
        <v>180</v>
      </c>
      <c r="B107" s="990"/>
      <c r="C107" s="990"/>
      <c r="D107" s="990"/>
      <c r="E107" s="990"/>
      <c r="F107" s="990"/>
      <c r="G107" s="990"/>
      <c r="H107" s="990"/>
      <c r="I107" s="990"/>
      <c r="J107" s="132">
        <v>154908.1</v>
      </c>
      <c r="K107" s="133">
        <v>3250600</v>
      </c>
      <c r="L107" s="134"/>
      <c r="M107" s="1181"/>
      <c r="N107" s="135"/>
      <c r="O107" s="79">
        <v>1080</v>
      </c>
      <c r="P107" s="79">
        <f t="shared" si="33"/>
        <v>1734.74</v>
      </c>
      <c r="Q107" s="79">
        <v>1873520</v>
      </c>
      <c r="R107" s="136">
        <v>1873520</v>
      </c>
      <c r="S107" s="136">
        <v>1873520</v>
      </c>
      <c r="T107" s="136">
        <v>1873520</v>
      </c>
      <c r="U107" s="137">
        <v>1377076.7</v>
      </c>
      <c r="V107" s="137">
        <f t="shared" si="34"/>
        <v>1377076.7</v>
      </c>
      <c r="W107" s="39">
        <v>1873520</v>
      </c>
      <c r="X107" s="39">
        <v>1873520</v>
      </c>
      <c r="Y107" s="39">
        <v>1873520</v>
      </c>
      <c r="Z107" s="40">
        <v>1873520</v>
      </c>
    </row>
    <row r="108" spans="1:30" ht="43.5" customHeight="1">
      <c r="A108" s="131" t="s">
        <v>181</v>
      </c>
      <c r="B108" s="990"/>
      <c r="C108" s="990"/>
      <c r="D108" s="990"/>
      <c r="E108" s="990"/>
      <c r="F108" s="990"/>
      <c r="G108" s="990"/>
      <c r="H108" s="990"/>
      <c r="I108" s="990"/>
      <c r="J108" s="132">
        <v>195282</v>
      </c>
      <c r="K108" s="133">
        <v>2513600</v>
      </c>
      <c r="L108" s="134"/>
      <c r="M108" s="1181"/>
      <c r="N108" s="135"/>
      <c r="O108" s="79">
        <v>3396</v>
      </c>
      <c r="P108" s="79">
        <f t="shared" si="33"/>
        <v>1871.02</v>
      </c>
      <c r="Q108" s="136">
        <v>6354000</v>
      </c>
      <c r="R108" s="136">
        <v>6354000</v>
      </c>
      <c r="S108" s="136">
        <v>6354000</v>
      </c>
      <c r="T108" s="136">
        <v>6354000</v>
      </c>
      <c r="U108" s="137">
        <v>5030235</v>
      </c>
      <c r="V108" s="137">
        <f t="shared" si="34"/>
        <v>5030235</v>
      </c>
      <c r="W108" s="39">
        <v>6354000</v>
      </c>
      <c r="X108" s="39">
        <v>6354000</v>
      </c>
      <c r="Y108" s="39">
        <v>6354000</v>
      </c>
      <c r="Z108" s="40">
        <v>6354000</v>
      </c>
    </row>
    <row r="109" spans="1:30" ht="43.5" customHeight="1">
      <c r="A109" s="131" t="s">
        <v>182</v>
      </c>
      <c r="B109" s="990"/>
      <c r="C109" s="990"/>
      <c r="D109" s="990"/>
      <c r="E109" s="990"/>
      <c r="F109" s="990"/>
      <c r="G109" s="990"/>
      <c r="H109" s="990"/>
      <c r="I109" s="990"/>
      <c r="J109" s="132">
        <v>134362</v>
      </c>
      <c r="K109" s="133">
        <v>4375950</v>
      </c>
      <c r="L109" s="141"/>
      <c r="M109" s="1181"/>
      <c r="N109" s="80"/>
      <c r="O109" s="79">
        <v>389</v>
      </c>
      <c r="P109" s="79">
        <f t="shared" si="33"/>
        <v>2340.06</v>
      </c>
      <c r="Q109" s="79">
        <v>910285.2</v>
      </c>
      <c r="R109" s="79">
        <v>910285.2</v>
      </c>
      <c r="S109" s="79">
        <v>910285.2</v>
      </c>
      <c r="T109" s="79">
        <v>910285.2</v>
      </c>
      <c r="U109" s="139">
        <v>910285.2</v>
      </c>
      <c r="V109" s="137">
        <f t="shared" si="34"/>
        <v>910285.2</v>
      </c>
      <c r="W109" s="39">
        <v>910285.2</v>
      </c>
      <c r="X109" s="39">
        <v>910285.2</v>
      </c>
      <c r="Y109" s="39">
        <v>910285.2</v>
      </c>
      <c r="Z109" s="40">
        <v>910285.2</v>
      </c>
    </row>
    <row r="110" spans="1:30" ht="62.25" customHeight="1">
      <c r="A110" s="131" t="s">
        <v>132</v>
      </c>
      <c r="B110" s="990"/>
      <c r="C110" s="990"/>
      <c r="D110" s="990"/>
      <c r="E110" s="990"/>
      <c r="F110" s="990"/>
      <c r="G110" s="990"/>
      <c r="H110" s="990"/>
      <c r="I110" s="990"/>
      <c r="J110" s="132"/>
      <c r="K110" s="133">
        <v>8983974.8599999994</v>
      </c>
      <c r="L110" s="134"/>
      <c r="M110" s="1182"/>
      <c r="N110" s="138"/>
      <c r="O110" s="79"/>
      <c r="P110" s="79"/>
      <c r="Q110" s="79"/>
      <c r="R110" s="136"/>
      <c r="S110" s="136"/>
      <c r="T110" s="136"/>
      <c r="U110" s="39">
        <v>4779548.9800000004</v>
      </c>
      <c r="V110" s="137">
        <f t="shared" si="34"/>
        <v>4779548.9800000004</v>
      </c>
      <c r="W110" s="39">
        <v>242195</v>
      </c>
      <c r="X110" s="39">
        <v>242195</v>
      </c>
      <c r="Y110" s="39">
        <v>781795</v>
      </c>
      <c r="Z110" s="39">
        <v>781795</v>
      </c>
    </row>
    <row r="111" spans="1:30" ht="287.25" customHeight="1">
      <c r="A111" s="142" t="s">
        <v>183</v>
      </c>
      <c r="B111" s="68" t="s">
        <v>22</v>
      </c>
      <c r="C111" s="68" t="s">
        <v>146</v>
      </c>
      <c r="D111" s="68" t="s">
        <v>147</v>
      </c>
      <c r="E111" s="68" t="s">
        <v>25</v>
      </c>
      <c r="F111" s="68" t="s">
        <v>184</v>
      </c>
      <c r="G111" s="68" t="s">
        <v>185</v>
      </c>
      <c r="H111" s="68" t="s">
        <v>28</v>
      </c>
      <c r="I111" s="50" t="s">
        <v>150</v>
      </c>
      <c r="J111" s="143">
        <f>SUM(J113:J141)</f>
        <v>1371105.53</v>
      </c>
      <c r="K111" s="143">
        <f>SUM(K113:K141)</f>
        <v>1934039.23</v>
      </c>
      <c r="L111" s="144" t="s">
        <v>186</v>
      </c>
      <c r="M111" s="145"/>
      <c r="N111" s="127"/>
      <c r="O111" s="146"/>
      <c r="P111" s="146"/>
      <c r="Q111" s="143">
        <f>SUM(Q113:Q141)</f>
        <v>2700765.9999999995</v>
      </c>
      <c r="R111" s="143">
        <f>SUM(R113:R141)</f>
        <v>2700765.9999999995</v>
      </c>
      <c r="S111" s="143">
        <f>SUM(S113:S141)</f>
        <v>2700765.9999999995</v>
      </c>
      <c r="T111" s="143">
        <f>SUM(T113:T141)</f>
        <v>2700765.9999999995</v>
      </c>
      <c r="U111" s="143">
        <f t="shared" ref="U111:Z111" si="35">SUM(U112:U142)</f>
        <v>2718939.9999999995</v>
      </c>
      <c r="V111" s="143">
        <f t="shared" si="35"/>
        <v>2718939.9999999995</v>
      </c>
      <c r="W111" s="143">
        <f t="shared" si="35"/>
        <v>1934039</v>
      </c>
      <c r="X111" s="143">
        <f t="shared" si="35"/>
        <v>1934039</v>
      </c>
      <c r="Y111" s="143">
        <f t="shared" si="35"/>
        <v>1934039</v>
      </c>
      <c r="Z111" s="143">
        <f t="shared" si="35"/>
        <v>1934039</v>
      </c>
    </row>
    <row r="112" spans="1:30" s="152" customFormat="1" ht="69" customHeight="1">
      <c r="A112" s="147" t="s">
        <v>187</v>
      </c>
      <c r="B112" s="1163"/>
      <c r="C112" s="1164"/>
      <c r="D112" s="1164"/>
      <c r="E112" s="1164"/>
      <c r="F112" s="1164"/>
      <c r="G112" s="1164"/>
      <c r="H112" s="1165"/>
      <c r="I112" s="1151" t="s">
        <v>188</v>
      </c>
      <c r="J112" s="148"/>
      <c r="K112" s="148"/>
      <c r="L112" s="149"/>
      <c r="M112" s="1172"/>
      <c r="N112" s="150"/>
      <c r="O112" s="151"/>
      <c r="P112" s="151"/>
      <c r="Q112" s="148"/>
      <c r="R112" s="148"/>
      <c r="S112" s="148"/>
      <c r="T112" s="148"/>
      <c r="U112" s="121">
        <v>50750.400000000001</v>
      </c>
      <c r="V112" s="121">
        <f>U112</f>
        <v>50750.400000000001</v>
      </c>
      <c r="W112" s="121">
        <v>0</v>
      </c>
      <c r="X112" s="121">
        <v>0</v>
      </c>
      <c r="Y112" s="121">
        <v>0</v>
      </c>
      <c r="Z112" s="121">
        <v>0</v>
      </c>
      <c r="AA112" s="904"/>
      <c r="AB112" s="904"/>
      <c r="AC112" s="904"/>
      <c r="AD112" s="904"/>
    </row>
    <row r="113" spans="1:26" ht="45.75" customHeight="1">
      <c r="A113" s="153" t="s">
        <v>158</v>
      </c>
      <c r="B113" s="1166"/>
      <c r="C113" s="1167"/>
      <c r="D113" s="1167"/>
      <c r="E113" s="1167"/>
      <c r="F113" s="1167"/>
      <c r="G113" s="1167"/>
      <c r="H113" s="1168"/>
      <c r="I113" s="1152"/>
      <c r="J113" s="78">
        <v>29443.52</v>
      </c>
      <c r="K113" s="154">
        <v>44165.279999999999</v>
      </c>
      <c r="L113" s="155"/>
      <c r="M113" s="1173"/>
      <c r="N113" s="135"/>
      <c r="O113" s="156">
        <v>12</v>
      </c>
      <c r="P113" s="79">
        <f t="shared" ref="P113:P141" si="36">ROUND(Q113/O113,2)</f>
        <v>3680.44</v>
      </c>
      <c r="Q113" s="156">
        <v>44165.279999999999</v>
      </c>
      <c r="R113" s="157">
        <v>44165.279999999999</v>
      </c>
      <c r="S113" s="157">
        <v>44165.279999999999</v>
      </c>
      <c r="T113" s="157">
        <v>44165.279999999999</v>
      </c>
      <c r="U113" s="139">
        <v>44165</v>
      </c>
      <c r="V113" s="139">
        <f>U113</f>
        <v>44165</v>
      </c>
      <c r="W113" s="137">
        <v>31647</v>
      </c>
      <c r="X113" s="137">
        <f>W113</f>
        <v>31647</v>
      </c>
      <c r="Y113" s="137">
        <f>W113</f>
        <v>31647</v>
      </c>
      <c r="Z113" s="40">
        <f>Y113</f>
        <v>31647</v>
      </c>
    </row>
    <row r="114" spans="1:26" ht="40.5" customHeight="1">
      <c r="A114" s="131" t="s">
        <v>156</v>
      </c>
      <c r="B114" s="1166"/>
      <c r="C114" s="1167"/>
      <c r="D114" s="1167"/>
      <c r="E114" s="1167"/>
      <c r="F114" s="1167"/>
      <c r="G114" s="1167"/>
      <c r="H114" s="1168"/>
      <c r="I114" s="1152"/>
      <c r="J114" s="78">
        <v>0</v>
      </c>
      <c r="K114" s="154">
        <v>34176.720000000001</v>
      </c>
      <c r="L114" s="155"/>
      <c r="M114" s="1173"/>
      <c r="N114" s="135"/>
      <c r="O114" s="156">
        <v>12</v>
      </c>
      <c r="P114" s="79">
        <f t="shared" si="36"/>
        <v>2841.67</v>
      </c>
      <c r="Q114" s="156">
        <v>34100</v>
      </c>
      <c r="R114" s="157">
        <v>34100</v>
      </c>
      <c r="S114" s="157">
        <v>34100</v>
      </c>
      <c r="T114" s="157">
        <v>34100</v>
      </c>
      <c r="U114" s="139">
        <v>60481.2</v>
      </c>
      <c r="V114" s="139">
        <f t="shared" ref="V114:V142" si="37">U114</f>
        <v>60481.2</v>
      </c>
      <c r="W114" s="137">
        <v>24420</v>
      </c>
      <c r="X114" s="137">
        <f t="shared" ref="X114:X141" si="38">W114</f>
        <v>24420</v>
      </c>
      <c r="Y114" s="137">
        <f>W114</f>
        <v>24420</v>
      </c>
      <c r="Z114" s="40">
        <f t="shared" ref="Z114:Z142" si="39">Y114</f>
        <v>24420</v>
      </c>
    </row>
    <row r="115" spans="1:26" ht="48" customHeight="1">
      <c r="A115" s="131" t="s">
        <v>157</v>
      </c>
      <c r="B115" s="1166"/>
      <c r="C115" s="1167"/>
      <c r="D115" s="1167"/>
      <c r="E115" s="1167"/>
      <c r="F115" s="1167"/>
      <c r="G115" s="1167"/>
      <c r="H115" s="1168"/>
      <c r="I115" s="1152"/>
      <c r="J115" s="78">
        <v>0</v>
      </c>
      <c r="K115" s="154">
        <v>0</v>
      </c>
      <c r="L115" s="155"/>
      <c r="M115" s="1173"/>
      <c r="N115" s="135"/>
      <c r="O115" s="156">
        <v>12</v>
      </c>
      <c r="P115" s="79">
        <f t="shared" si="36"/>
        <v>3033.5</v>
      </c>
      <c r="Q115" s="156">
        <v>36402</v>
      </c>
      <c r="R115" s="157">
        <v>36402</v>
      </c>
      <c r="S115" s="157">
        <v>36402</v>
      </c>
      <c r="T115" s="157">
        <v>36402</v>
      </c>
      <c r="U115" s="139">
        <v>37640</v>
      </c>
      <c r="V115" s="139">
        <f t="shared" si="37"/>
        <v>37640</v>
      </c>
      <c r="W115" s="137">
        <v>26067</v>
      </c>
      <c r="X115" s="137">
        <f t="shared" si="38"/>
        <v>26067</v>
      </c>
      <c r="Y115" s="137">
        <f t="shared" ref="Y115:Y142" si="40">W115</f>
        <v>26067</v>
      </c>
      <c r="Z115" s="40">
        <f t="shared" si="39"/>
        <v>26067</v>
      </c>
    </row>
    <row r="116" spans="1:26" ht="61.5" customHeight="1">
      <c r="A116" s="153" t="s">
        <v>189</v>
      </c>
      <c r="B116" s="1166"/>
      <c r="C116" s="1167"/>
      <c r="D116" s="1167"/>
      <c r="E116" s="1167"/>
      <c r="F116" s="1167"/>
      <c r="G116" s="1167"/>
      <c r="H116" s="1168"/>
      <c r="I116" s="1152"/>
      <c r="J116" s="78">
        <v>45913.59</v>
      </c>
      <c r="K116" s="154">
        <v>61218.12</v>
      </c>
      <c r="L116" s="155"/>
      <c r="M116" s="1173"/>
      <c r="N116" s="135"/>
      <c r="O116" s="156">
        <v>12</v>
      </c>
      <c r="P116" s="79">
        <f t="shared" si="36"/>
        <v>53457.43</v>
      </c>
      <c r="Q116" s="156">
        <v>641489.19999999995</v>
      </c>
      <c r="R116" s="157">
        <v>641489.19999999995</v>
      </c>
      <c r="S116" s="157">
        <v>641489.19999999995</v>
      </c>
      <c r="T116" s="157">
        <v>641489.19999999995</v>
      </c>
      <c r="U116" s="139">
        <v>100792</v>
      </c>
      <c r="V116" s="139">
        <f t="shared" si="37"/>
        <v>100792</v>
      </c>
      <c r="W116" s="137">
        <v>459371</v>
      </c>
      <c r="X116" s="137">
        <f t="shared" si="38"/>
        <v>459371</v>
      </c>
      <c r="Y116" s="137">
        <f t="shared" si="40"/>
        <v>459371</v>
      </c>
      <c r="Z116" s="40">
        <f t="shared" si="39"/>
        <v>459371</v>
      </c>
    </row>
    <row r="117" spans="1:26" ht="45.75" customHeight="1">
      <c r="A117" s="153" t="s">
        <v>190</v>
      </c>
      <c r="B117" s="1166"/>
      <c r="C117" s="1167"/>
      <c r="D117" s="1167"/>
      <c r="E117" s="1167"/>
      <c r="F117" s="1167"/>
      <c r="G117" s="1167"/>
      <c r="H117" s="1168"/>
      <c r="I117" s="1152"/>
      <c r="J117" s="78">
        <v>210298.32</v>
      </c>
      <c r="K117" s="154">
        <v>210298.32</v>
      </c>
      <c r="L117" s="155"/>
      <c r="M117" s="1173"/>
      <c r="N117" s="135"/>
      <c r="O117" s="156">
        <v>12</v>
      </c>
      <c r="P117" s="79">
        <f t="shared" si="36"/>
        <v>17524.86</v>
      </c>
      <c r="Q117" s="156">
        <v>210298.32</v>
      </c>
      <c r="R117" s="157">
        <v>210298.32</v>
      </c>
      <c r="S117" s="158">
        <v>210298.32</v>
      </c>
      <c r="T117" s="158">
        <v>210298.32</v>
      </c>
      <c r="U117" s="159">
        <v>210298</v>
      </c>
      <c r="V117" s="139">
        <f t="shared" si="37"/>
        <v>210298</v>
      </c>
      <c r="W117" s="137">
        <v>150594</v>
      </c>
      <c r="X117" s="137">
        <f t="shared" si="38"/>
        <v>150594</v>
      </c>
      <c r="Y117" s="137">
        <f t="shared" si="40"/>
        <v>150594</v>
      </c>
      <c r="Z117" s="40">
        <f t="shared" si="39"/>
        <v>150594</v>
      </c>
    </row>
    <row r="118" spans="1:26" ht="42" customHeight="1">
      <c r="A118" s="153" t="s">
        <v>153</v>
      </c>
      <c r="B118" s="1166"/>
      <c r="C118" s="1167"/>
      <c r="D118" s="1167"/>
      <c r="E118" s="1167"/>
      <c r="F118" s="1167"/>
      <c r="G118" s="1167"/>
      <c r="H118" s="1168"/>
      <c r="I118" s="1152"/>
      <c r="J118" s="78">
        <v>174103.65</v>
      </c>
      <c r="K118" s="154">
        <v>232138.2</v>
      </c>
      <c r="L118" s="160"/>
      <c r="M118" s="1173"/>
      <c r="N118" s="135"/>
      <c r="O118" s="156">
        <v>12</v>
      </c>
      <c r="P118" s="79">
        <f t="shared" si="36"/>
        <v>19583.330000000002</v>
      </c>
      <c r="Q118" s="156">
        <v>235000</v>
      </c>
      <c r="R118" s="157">
        <v>235000</v>
      </c>
      <c r="S118" s="158">
        <v>235000</v>
      </c>
      <c r="T118" s="158">
        <v>235000</v>
      </c>
      <c r="U118" s="159">
        <v>235000</v>
      </c>
      <c r="V118" s="139">
        <f t="shared" si="37"/>
        <v>235000</v>
      </c>
      <c r="W118" s="137">
        <v>168283</v>
      </c>
      <c r="X118" s="137">
        <f t="shared" si="38"/>
        <v>168283</v>
      </c>
      <c r="Y118" s="137">
        <f t="shared" si="40"/>
        <v>168283</v>
      </c>
      <c r="Z118" s="40">
        <f t="shared" si="39"/>
        <v>168283</v>
      </c>
    </row>
    <row r="119" spans="1:26" ht="48" customHeight="1">
      <c r="A119" s="153" t="s">
        <v>154</v>
      </c>
      <c r="B119" s="1166"/>
      <c r="C119" s="1167"/>
      <c r="D119" s="1167"/>
      <c r="E119" s="1167"/>
      <c r="F119" s="1167"/>
      <c r="G119" s="1167"/>
      <c r="H119" s="1168"/>
      <c r="I119" s="1152"/>
      <c r="J119" s="78">
        <v>174682.44</v>
      </c>
      <c r="K119" s="154">
        <v>174682.52</v>
      </c>
      <c r="L119" s="160"/>
      <c r="M119" s="1173"/>
      <c r="N119" s="135"/>
      <c r="O119" s="156">
        <v>12</v>
      </c>
      <c r="P119" s="79">
        <f t="shared" si="36"/>
        <v>16012.52</v>
      </c>
      <c r="Q119" s="157">
        <v>192150.27</v>
      </c>
      <c r="R119" s="157">
        <v>192150.27</v>
      </c>
      <c r="S119" s="157">
        <v>192150.27</v>
      </c>
      <c r="T119" s="157">
        <v>192150.27</v>
      </c>
      <c r="U119" s="139">
        <v>170950.2</v>
      </c>
      <c r="V119" s="139">
        <f t="shared" si="37"/>
        <v>170950.2</v>
      </c>
      <c r="W119" s="137">
        <v>137599</v>
      </c>
      <c r="X119" s="137">
        <f t="shared" si="38"/>
        <v>137599</v>
      </c>
      <c r="Y119" s="137">
        <f t="shared" si="40"/>
        <v>137599</v>
      </c>
      <c r="Z119" s="40">
        <f t="shared" si="39"/>
        <v>137599</v>
      </c>
    </row>
    <row r="120" spans="1:26" ht="42" customHeight="1">
      <c r="A120" s="153" t="s">
        <v>160</v>
      </c>
      <c r="B120" s="1166"/>
      <c r="C120" s="1167"/>
      <c r="D120" s="1167"/>
      <c r="E120" s="1167"/>
      <c r="F120" s="1167"/>
      <c r="G120" s="1167"/>
      <c r="H120" s="1168"/>
      <c r="I120" s="1152"/>
      <c r="J120" s="78">
        <v>2848.06</v>
      </c>
      <c r="K120" s="154">
        <v>34176.720000000001</v>
      </c>
      <c r="L120" s="160"/>
      <c r="M120" s="1173"/>
      <c r="N120" s="135"/>
      <c r="O120" s="156">
        <v>12</v>
      </c>
      <c r="P120" s="79">
        <f t="shared" si="36"/>
        <v>2848.06</v>
      </c>
      <c r="Q120" s="156">
        <v>34176.699999999997</v>
      </c>
      <c r="R120" s="157">
        <v>34176.699999999997</v>
      </c>
      <c r="S120" s="158">
        <v>34176.699999999997</v>
      </c>
      <c r="T120" s="158">
        <v>34176.699999999997</v>
      </c>
      <c r="U120" s="159">
        <v>37020</v>
      </c>
      <c r="V120" s="139">
        <f t="shared" si="37"/>
        <v>37020</v>
      </c>
      <c r="W120" s="137">
        <v>24474</v>
      </c>
      <c r="X120" s="137">
        <f t="shared" si="38"/>
        <v>24474</v>
      </c>
      <c r="Y120" s="137">
        <f t="shared" si="40"/>
        <v>24474</v>
      </c>
      <c r="Z120" s="40">
        <f t="shared" si="39"/>
        <v>24474</v>
      </c>
    </row>
    <row r="121" spans="1:26" ht="63" customHeight="1">
      <c r="A121" s="153" t="s">
        <v>161</v>
      </c>
      <c r="B121" s="1166"/>
      <c r="C121" s="1167"/>
      <c r="D121" s="1167"/>
      <c r="E121" s="1167"/>
      <c r="F121" s="1167"/>
      <c r="G121" s="1167"/>
      <c r="H121" s="1168"/>
      <c r="I121" s="1152"/>
      <c r="J121" s="78">
        <v>0</v>
      </c>
      <c r="K121" s="154">
        <v>25694.400000000001</v>
      </c>
      <c r="L121" s="155"/>
      <c r="M121" s="1173"/>
      <c r="N121" s="135"/>
      <c r="O121" s="156">
        <v>12</v>
      </c>
      <c r="P121" s="79">
        <f t="shared" si="36"/>
        <v>2141.1999999999998</v>
      </c>
      <c r="Q121" s="156">
        <v>25694.400000000001</v>
      </c>
      <c r="R121" s="157">
        <v>25694.400000000001</v>
      </c>
      <c r="S121" s="157">
        <v>25694.400000000001</v>
      </c>
      <c r="T121" s="157">
        <v>25694.400000000001</v>
      </c>
      <c r="U121" s="139">
        <v>23196</v>
      </c>
      <c r="V121" s="139">
        <f t="shared" si="37"/>
        <v>23196</v>
      </c>
      <c r="W121" s="137">
        <v>18400</v>
      </c>
      <c r="X121" s="137">
        <f t="shared" si="38"/>
        <v>18400</v>
      </c>
      <c r="Y121" s="137">
        <f t="shared" si="40"/>
        <v>18400</v>
      </c>
      <c r="Z121" s="40">
        <f t="shared" si="39"/>
        <v>18400</v>
      </c>
    </row>
    <row r="122" spans="1:26" ht="45" customHeight="1">
      <c r="A122" s="153" t="s">
        <v>162</v>
      </c>
      <c r="B122" s="1166"/>
      <c r="C122" s="1167"/>
      <c r="D122" s="1167"/>
      <c r="E122" s="1167"/>
      <c r="F122" s="1167"/>
      <c r="G122" s="1167"/>
      <c r="H122" s="1168"/>
      <c r="I122" s="1152"/>
      <c r="J122" s="78">
        <v>10713.5</v>
      </c>
      <c r="K122" s="154">
        <v>10713.36</v>
      </c>
      <c r="L122" s="161"/>
      <c r="M122" s="1173"/>
      <c r="N122" s="135"/>
      <c r="O122" s="156">
        <v>12</v>
      </c>
      <c r="P122" s="79">
        <f t="shared" si="36"/>
        <v>892.78</v>
      </c>
      <c r="Q122" s="156">
        <v>10713.36</v>
      </c>
      <c r="R122" s="157">
        <v>10713.36</v>
      </c>
      <c r="S122" s="157">
        <v>10713.36</v>
      </c>
      <c r="T122" s="157">
        <v>10713.36</v>
      </c>
      <c r="U122" s="139">
        <v>11327.65</v>
      </c>
      <c r="V122" s="139">
        <f t="shared" si="37"/>
        <v>11327.65</v>
      </c>
      <c r="W122" s="137">
        <v>7672</v>
      </c>
      <c r="X122" s="137">
        <f t="shared" si="38"/>
        <v>7672</v>
      </c>
      <c r="Y122" s="137">
        <f t="shared" si="40"/>
        <v>7672</v>
      </c>
      <c r="Z122" s="40">
        <f t="shared" si="39"/>
        <v>7672</v>
      </c>
    </row>
    <row r="123" spans="1:26" ht="63.75" customHeight="1">
      <c r="A123" s="153" t="s">
        <v>163</v>
      </c>
      <c r="B123" s="1166"/>
      <c r="C123" s="1167"/>
      <c r="D123" s="1167"/>
      <c r="E123" s="1167"/>
      <c r="F123" s="1167"/>
      <c r="G123" s="1167"/>
      <c r="H123" s="1168"/>
      <c r="I123" s="1152"/>
      <c r="J123" s="78">
        <v>2848.07</v>
      </c>
      <c r="K123" s="154">
        <v>34176.839999999997</v>
      </c>
      <c r="L123" s="160"/>
      <c r="M123" s="1173"/>
      <c r="N123" s="135"/>
      <c r="O123" s="156">
        <v>12</v>
      </c>
      <c r="P123" s="79">
        <f t="shared" si="36"/>
        <v>2820.22</v>
      </c>
      <c r="Q123" s="156">
        <v>33842.639999999999</v>
      </c>
      <c r="R123" s="157">
        <v>33842.639999999999</v>
      </c>
      <c r="S123" s="158">
        <v>33842.639999999999</v>
      </c>
      <c r="T123" s="158">
        <v>33842.639999999999</v>
      </c>
      <c r="U123" s="159">
        <v>33843</v>
      </c>
      <c r="V123" s="139">
        <f t="shared" si="37"/>
        <v>33843</v>
      </c>
      <c r="W123" s="137">
        <v>24235</v>
      </c>
      <c r="X123" s="137">
        <f t="shared" si="38"/>
        <v>24235</v>
      </c>
      <c r="Y123" s="137">
        <f t="shared" si="40"/>
        <v>24235</v>
      </c>
      <c r="Z123" s="40">
        <f t="shared" si="39"/>
        <v>24235</v>
      </c>
    </row>
    <row r="124" spans="1:26" ht="63" customHeight="1">
      <c r="A124" s="153" t="s">
        <v>164</v>
      </c>
      <c r="B124" s="1166"/>
      <c r="C124" s="1167"/>
      <c r="D124" s="1167"/>
      <c r="E124" s="1167"/>
      <c r="F124" s="1167"/>
      <c r="G124" s="1167"/>
      <c r="H124" s="1168"/>
      <c r="I124" s="1152"/>
      <c r="J124" s="78">
        <v>3138.58</v>
      </c>
      <c r="K124" s="154">
        <v>18831.48</v>
      </c>
      <c r="L124" s="162"/>
      <c r="M124" s="1173"/>
      <c r="N124" s="135"/>
      <c r="O124" s="156">
        <v>12</v>
      </c>
      <c r="P124" s="79">
        <f t="shared" si="36"/>
        <v>1569.29</v>
      </c>
      <c r="Q124" s="156">
        <v>18831.48</v>
      </c>
      <c r="R124" s="157">
        <v>18831.48</v>
      </c>
      <c r="S124" s="158">
        <v>18831.48</v>
      </c>
      <c r="T124" s="158">
        <v>18831.48</v>
      </c>
      <c r="U124" s="159">
        <v>18832</v>
      </c>
      <c r="V124" s="139">
        <f t="shared" si="37"/>
        <v>18832</v>
      </c>
      <c r="W124" s="137">
        <v>13485</v>
      </c>
      <c r="X124" s="137">
        <f t="shared" si="38"/>
        <v>13485</v>
      </c>
      <c r="Y124" s="137">
        <f t="shared" si="40"/>
        <v>13485</v>
      </c>
      <c r="Z124" s="40">
        <f t="shared" si="39"/>
        <v>13485</v>
      </c>
    </row>
    <row r="125" spans="1:26" ht="72" customHeight="1">
      <c r="A125" s="153" t="s">
        <v>165</v>
      </c>
      <c r="B125" s="1166"/>
      <c r="C125" s="1167"/>
      <c r="D125" s="1167"/>
      <c r="E125" s="1167"/>
      <c r="F125" s="1167"/>
      <c r="G125" s="1167"/>
      <c r="H125" s="1168"/>
      <c r="I125" s="1152"/>
      <c r="J125" s="78">
        <v>6548.4</v>
      </c>
      <c r="K125" s="154">
        <v>6548.4</v>
      </c>
      <c r="L125" s="155"/>
      <c r="M125" s="1173"/>
      <c r="N125" s="135"/>
      <c r="O125" s="156">
        <v>12</v>
      </c>
      <c r="P125" s="79">
        <f t="shared" si="36"/>
        <v>545.70000000000005</v>
      </c>
      <c r="Q125" s="156">
        <v>6548.4</v>
      </c>
      <c r="R125" s="157">
        <v>6548.4</v>
      </c>
      <c r="S125" s="157">
        <v>6548.4</v>
      </c>
      <c r="T125" s="157">
        <v>6548.4</v>
      </c>
      <c r="U125" s="139">
        <v>12684</v>
      </c>
      <c r="V125" s="139">
        <f t="shared" si="37"/>
        <v>12684</v>
      </c>
      <c r="W125" s="137">
        <v>4689</v>
      </c>
      <c r="X125" s="137">
        <f t="shared" si="38"/>
        <v>4689</v>
      </c>
      <c r="Y125" s="137">
        <f t="shared" si="40"/>
        <v>4689</v>
      </c>
      <c r="Z125" s="40">
        <f t="shared" si="39"/>
        <v>4689</v>
      </c>
    </row>
    <row r="126" spans="1:26" ht="40.5">
      <c r="A126" s="153" t="s">
        <v>167</v>
      </c>
      <c r="B126" s="1166"/>
      <c r="C126" s="1167"/>
      <c r="D126" s="1167"/>
      <c r="E126" s="1167"/>
      <c r="F126" s="1167"/>
      <c r="G126" s="1167"/>
      <c r="H126" s="1168"/>
      <c r="I126" s="1152"/>
      <c r="J126" s="159">
        <v>237874.56</v>
      </c>
      <c r="K126" s="154">
        <v>237874.56</v>
      </c>
      <c r="L126" s="155"/>
      <c r="M126" s="1173"/>
      <c r="N126" s="135"/>
      <c r="O126" s="163">
        <v>12</v>
      </c>
      <c r="P126" s="79">
        <f t="shared" si="36"/>
        <v>19822.88</v>
      </c>
      <c r="Q126" s="163">
        <v>237874.56</v>
      </c>
      <c r="R126" s="158">
        <v>237874.56</v>
      </c>
      <c r="S126" s="158">
        <v>237874.56</v>
      </c>
      <c r="T126" s="158">
        <v>237874.56</v>
      </c>
      <c r="U126" s="159">
        <v>218600.4</v>
      </c>
      <c r="V126" s="139">
        <f t="shared" si="37"/>
        <v>218600.4</v>
      </c>
      <c r="W126" s="137">
        <v>170342</v>
      </c>
      <c r="X126" s="137">
        <f t="shared" si="38"/>
        <v>170342</v>
      </c>
      <c r="Y126" s="137">
        <f t="shared" si="40"/>
        <v>170342</v>
      </c>
      <c r="Z126" s="40">
        <f t="shared" si="39"/>
        <v>170342</v>
      </c>
    </row>
    <row r="127" spans="1:26" ht="60.75" customHeight="1">
      <c r="A127" s="153" t="s">
        <v>168</v>
      </c>
      <c r="B127" s="1166"/>
      <c r="C127" s="1167"/>
      <c r="D127" s="1167"/>
      <c r="E127" s="1167"/>
      <c r="F127" s="1167"/>
      <c r="G127" s="1167"/>
      <c r="H127" s="1168"/>
      <c r="I127" s="1152"/>
      <c r="J127" s="78">
        <v>0</v>
      </c>
      <c r="K127" s="154">
        <v>33771.800000000003</v>
      </c>
      <c r="L127" s="155"/>
      <c r="M127" s="1173"/>
      <c r="N127" s="135"/>
      <c r="O127" s="156">
        <v>12</v>
      </c>
      <c r="P127" s="79">
        <f t="shared" si="36"/>
        <v>2814.32</v>
      </c>
      <c r="Q127" s="156">
        <v>33771.800000000003</v>
      </c>
      <c r="R127" s="157">
        <v>33771.800000000003</v>
      </c>
      <c r="S127" s="158">
        <v>33771.800000000003</v>
      </c>
      <c r="T127" s="158">
        <v>33771.800000000003</v>
      </c>
      <c r="U127" s="159">
        <v>32550</v>
      </c>
      <c r="V127" s="139">
        <f t="shared" si="37"/>
        <v>32550</v>
      </c>
      <c r="W127" s="137">
        <v>24184</v>
      </c>
      <c r="X127" s="137">
        <f t="shared" si="38"/>
        <v>24184</v>
      </c>
      <c r="Y127" s="137">
        <f t="shared" si="40"/>
        <v>24184</v>
      </c>
      <c r="Z127" s="40">
        <f t="shared" si="39"/>
        <v>24184</v>
      </c>
    </row>
    <row r="128" spans="1:26" ht="48.75" customHeight="1">
      <c r="A128" s="153" t="s">
        <v>169</v>
      </c>
      <c r="B128" s="1166"/>
      <c r="C128" s="1167"/>
      <c r="D128" s="1167"/>
      <c r="E128" s="1167"/>
      <c r="F128" s="1167"/>
      <c r="G128" s="1167"/>
      <c r="H128" s="1168"/>
      <c r="I128" s="1152"/>
      <c r="J128" s="78">
        <v>244872.6</v>
      </c>
      <c r="K128" s="154">
        <v>244872.6</v>
      </c>
      <c r="L128" s="164"/>
      <c r="M128" s="1174"/>
      <c r="N128" s="135"/>
      <c r="O128" s="156">
        <v>12</v>
      </c>
      <c r="P128" s="79">
        <f t="shared" si="36"/>
        <v>20406.05</v>
      </c>
      <c r="Q128" s="156">
        <v>244872.6</v>
      </c>
      <c r="R128" s="157">
        <v>244872.6</v>
      </c>
      <c r="S128" s="158">
        <v>244872.6</v>
      </c>
      <c r="T128" s="158">
        <v>244872.6</v>
      </c>
      <c r="U128" s="159">
        <v>235321.2</v>
      </c>
      <c r="V128" s="139">
        <f t="shared" si="37"/>
        <v>235321.2</v>
      </c>
      <c r="W128" s="137">
        <v>175353</v>
      </c>
      <c r="X128" s="137">
        <f t="shared" si="38"/>
        <v>175353</v>
      </c>
      <c r="Y128" s="137">
        <f t="shared" si="40"/>
        <v>175353</v>
      </c>
      <c r="Z128" s="40">
        <f t="shared" si="39"/>
        <v>175353</v>
      </c>
    </row>
    <row r="129" spans="1:53" ht="64.5" customHeight="1">
      <c r="A129" s="153" t="s">
        <v>172</v>
      </c>
      <c r="B129" s="1166"/>
      <c r="C129" s="1167"/>
      <c r="D129" s="1167"/>
      <c r="E129" s="1167"/>
      <c r="F129" s="1167"/>
      <c r="G129" s="1167"/>
      <c r="H129" s="1168"/>
      <c r="I129" s="1152"/>
      <c r="J129" s="78">
        <v>50328</v>
      </c>
      <c r="K129" s="154">
        <v>50328</v>
      </c>
      <c r="L129" s="160"/>
      <c r="M129" s="1175"/>
      <c r="N129" s="135"/>
      <c r="O129" s="156">
        <v>12</v>
      </c>
      <c r="P129" s="79">
        <f t="shared" si="36"/>
        <v>4194</v>
      </c>
      <c r="Q129" s="156">
        <v>50328</v>
      </c>
      <c r="R129" s="157">
        <v>50328</v>
      </c>
      <c r="S129" s="158">
        <v>50328</v>
      </c>
      <c r="T129" s="158">
        <v>50328</v>
      </c>
      <c r="U129" s="159">
        <v>50328</v>
      </c>
      <c r="V129" s="139">
        <f t="shared" si="37"/>
        <v>50328</v>
      </c>
      <c r="W129" s="137">
        <v>36040</v>
      </c>
      <c r="X129" s="137">
        <f t="shared" si="38"/>
        <v>36040</v>
      </c>
      <c r="Y129" s="137">
        <f t="shared" si="40"/>
        <v>36040</v>
      </c>
      <c r="Z129" s="40">
        <f t="shared" si="39"/>
        <v>36040</v>
      </c>
    </row>
    <row r="130" spans="1:53" ht="64.5" customHeight="1">
      <c r="A130" s="153" t="s">
        <v>171</v>
      </c>
      <c r="B130" s="1166"/>
      <c r="C130" s="1167"/>
      <c r="D130" s="1167"/>
      <c r="E130" s="1167"/>
      <c r="F130" s="1167"/>
      <c r="G130" s="1167"/>
      <c r="H130" s="1168"/>
      <c r="I130" s="1152"/>
      <c r="J130" s="78">
        <v>34084.26</v>
      </c>
      <c r="K130" s="154">
        <v>45445.63</v>
      </c>
      <c r="L130" s="160"/>
      <c r="M130" s="1176"/>
      <c r="N130" s="135"/>
      <c r="O130" s="156">
        <v>12</v>
      </c>
      <c r="P130" s="79">
        <f t="shared" si="36"/>
        <v>3787.14</v>
      </c>
      <c r="Q130" s="156">
        <v>45445.63</v>
      </c>
      <c r="R130" s="157">
        <v>45445.63</v>
      </c>
      <c r="S130" s="158">
        <v>45445.63</v>
      </c>
      <c r="T130" s="158">
        <v>45445.63</v>
      </c>
      <c r="U130" s="159">
        <v>45605.4</v>
      </c>
      <c r="V130" s="139">
        <f t="shared" si="37"/>
        <v>45605.4</v>
      </c>
      <c r="W130" s="137">
        <v>32544</v>
      </c>
      <c r="X130" s="137">
        <f t="shared" si="38"/>
        <v>32544</v>
      </c>
      <c r="Y130" s="137">
        <f t="shared" si="40"/>
        <v>32544</v>
      </c>
      <c r="Z130" s="40">
        <f t="shared" si="39"/>
        <v>32544</v>
      </c>
    </row>
    <row r="131" spans="1:53" ht="78" customHeight="1">
      <c r="A131" s="131" t="s">
        <v>170</v>
      </c>
      <c r="B131" s="1166"/>
      <c r="C131" s="1167"/>
      <c r="D131" s="1167"/>
      <c r="E131" s="1167"/>
      <c r="F131" s="1167"/>
      <c r="G131" s="1167"/>
      <c r="H131" s="1168"/>
      <c r="I131" s="1152"/>
      <c r="J131" s="78"/>
      <c r="K131" s="154">
        <v>38307.360000000001</v>
      </c>
      <c r="L131" s="160"/>
      <c r="M131" s="1176"/>
      <c r="N131" s="135"/>
      <c r="O131" s="156">
        <v>12</v>
      </c>
      <c r="P131" s="79">
        <f t="shared" si="36"/>
        <v>3192.28</v>
      </c>
      <c r="Q131" s="156">
        <v>38307.4</v>
      </c>
      <c r="R131" s="157">
        <v>38307.4</v>
      </c>
      <c r="S131" s="157">
        <v>38307.4</v>
      </c>
      <c r="T131" s="157">
        <v>38307.4</v>
      </c>
      <c r="U131" s="139">
        <v>41900.400000000001</v>
      </c>
      <c r="V131" s="139">
        <f t="shared" si="37"/>
        <v>41900.400000000001</v>
      </c>
      <c r="W131" s="137">
        <v>27432</v>
      </c>
      <c r="X131" s="137">
        <f t="shared" si="38"/>
        <v>27432</v>
      </c>
      <c r="Y131" s="137">
        <f t="shared" si="40"/>
        <v>27432</v>
      </c>
      <c r="Z131" s="40">
        <f t="shared" si="39"/>
        <v>27432</v>
      </c>
    </row>
    <row r="132" spans="1:53" ht="69" customHeight="1">
      <c r="A132" s="153" t="s">
        <v>173</v>
      </c>
      <c r="B132" s="1166"/>
      <c r="C132" s="1167"/>
      <c r="D132" s="1167"/>
      <c r="E132" s="1167"/>
      <c r="F132" s="1167"/>
      <c r="G132" s="1167"/>
      <c r="H132" s="1168"/>
      <c r="I132" s="1152"/>
      <c r="J132" s="78">
        <v>18915.86</v>
      </c>
      <c r="K132" s="154">
        <v>113495.16</v>
      </c>
      <c r="L132" s="162"/>
      <c r="M132" s="1176"/>
      <c r="N132" s="135"/>
      <c r="O132" s="156">
        <v>12</v>
      </c>
      <c r="P132" s="79">
        <f t="shared" si="36"/>
        <v>9930.83</v>
      </c>
      <c r="Q132" s="156">
        <v>119169.96</v>
      </c>
      <c r="R132" s="157">
        <v>119169.96</v>
      </c>
      <c r="S132" s="157">
        <v>119169.96</v>
      </c>
      <c r="T132" s="157">
        <v>119169.96</v>
      </c>
      <c r="U132" s="139">
        <v>60249</v>
      </c>
      <c r="V132" s="139">
        <f t="shared" si="37"/>
        <v>60249</v>
      </c>
      <c r="W132" s="137">
        <v>85338</v>
      </c>
      <c r="X132" s="137">
        <f t="shared" si="38"/>
        <v>85338</v>
      </c>
      <c r="Y132" s="137">
        <f t="shared" si="40"/>
        <v>85338</v>
      </c>
      <c r="Z132" s="40">
        <f t="shared" si="39"/>
        <v>85338</v>
      </c>
    </row>
    <row r="133" spans="1:53" ht="51" customHeight="1">
      <c r="A133" s="153" t="s">
        <v>174</v>
      </c>
      <c r="B133" s="1166"/>
      <c r="C133" s="1167"/>
      <c r="D133" s="1167"/>
      <c r="E133" s="1167"/>
      <c r="F133" s="1167"/>
      <c r="G133" s="1167"/>
      <c r="H133" s="1168"/>
      <c r="I133" s="1152"/>
      <c r="J133" s="78">
        <v>20262.8</v>
      </c>
      <c r="K133" s="154">
        <v>60862.8</v>
      </c>
      <c r="L133" s="155"/>
      <c r="M133" s="1176"/>
      <c r="N133" s="135"/>
      <c r="O133" s="156">
        <v>12</v>
      </c>
      <c r="P133" s="79">
        <f t="shared" si="36"/>
        <v>5071.8999999999996</v>
      </c>
      <c r="Q133" s="156">
        <v>60862.8</v>
      </c>
      <c r="R133" s="157">
        <v>60862.8</v>
      </c>
      <c r="S133" s="158">
        <v>60862.8</v>
      </c>
      <c r="T133" s="158">
        <v>60862.8</v>
      </c>
      <c r="U133" s="159">
        <v>60760.2</v>
      </c>
      <c r="V133" s="139">
        <f t="shared" si="37"/>
        <v>60760.2</v>
      </c>
      <c r="W133" s="137">
        <v>43584</v>
      </c>
      <c r="X133" s="137">
        <f t="shared" si="38"/>
        <v>43584</v>
      </c>
      <c r="Y133" s="137">
        <f t="shared" si="40"/>
        <v>43584</v>
      </c>
      <c r="Z133" s="40">
        <f t="shared" si="39"/>
        <v>43584</v>
      </c>
    </row>
    <row r="134" spans="1:53" ht="56.25" customHeight="1">
      <c r="A134" s="153" t="s">
        <v>191</v>
      </c>
      <c r="B134" s="1166"/>
      <c r="C134" s="1167"/>
      <c r="D134" s="1167"/>
      <c r="E134" s="1167"/>
      <c r="F134" s="1167"/>
      <c r="G134" s="1167"/>
      <c r="H134" s="1168"/>
      <c r="I134" s="1152"/>
      <c r="J134" s="78">
        <v>1483.32</v>
      </c>
      <c r="K134" s="154">
        <v>17800.5</v>
      </c>
      <c r="L134" s="155"/>
      <c r="M134" s="1176"/>
      <c r="N134" s="135"/>
      <c r="O134" s="156">
        <v>12</v>
      </c>
      <c r="P134" s="79">
        <f t="shared" si="36"/>
        <v>5150</v>
      </c>
      <c r="Q134" s="156">
        <v>61800</v>
      </c>
      <c r="R134" s="157">
        <v>61800</v>
      </c>
      <c r="S134" s="158">
        <v>61800</v>
      </c>
      <c r="T134" s="158">
        <v>61800</v>
      </c>
      <c r="U134" s="159">
        <v>97593.78</v>
      </c>
      <c r="V134" s="139">
        <f t="shared" si="37"/>
        <v>97593.78</v>
      </c>
      <c r="W134" s="137">
        <v>44255</v>
      </c>
      <c r="X134" s="137">
        <f t="shared" si="38"/>
        <v>44255</v>
      </c>
      <c r="Y134" s="137">
        <f t="shared" si="40"/>
        <v>44255</v>
      </c>
      <c r="Z134" s="40">
        <f t="shared" si="39"/>
        <v>44255</v>
      </c>
    </row>
    <row r="135" spans="1:53" ht="48.75" customHeight="1">
      <c r="A135" s="153" t="s">
        <v>182</v>
      </c>
      <c r="B135" s="1166"/>
      <c r="C135" s="1167"/>
      <c r="D135" s="1167"/>
      <c r="E135" s="1167"/>
      <c r="F135" s="1167"/>
      <c r="G135" s="1167"/>
      <c r="H135" s="1168"/>
      <c r="I135" s="1152"/>
      <c r="J135" s="78">
        <v>38327.4</v>
      </c>
      <c r="K135" s="154">
        <v>38327.4</v>
      </c>
      <c r="L135" s="160"/>
      <c r="M135" s="1176"/>
      <c r="N135" s="135"/>
      <c r="O135" s="156">
        <v>12</v>
      </c>
      <c r="P135" s="79">
        <f t="shared" si="36"/>
        <v>5560.62</v>
      </c>
      <c r="Q135" s="156">
        <v>66727.399999999994</v>
      </c>
      <c r="R135" s="157">
        <v>66727.399999999994</v>
      </c>
      <c r="S135" s="157">
        <v>66727.399999999994</v>
      </c>
      <c r="T135" s="157">
        <v>66727.399999999994</v>
      </c>
      <c r="U135" s="139">
        <v>66727</v>
      </c>
      <c r="V135" s="139">
        <f t="shared" si="37"/>
        <v>66727</v>
      </c>
      <c r="W135" s="137">
        <v>47783</v>
      </c>
      <c r="X135" s="137">
        <f t="shared" si="38"/>
        <v>47783</v>
      </c>
      <c r="Y135" s="137">
        <f t="shared" si="40"/>
        <v>47783</v>
      </c>
      <c r="Z135" s="40">
        <f t="shared" si="39"/>
        <v>47783</v>
      </c>
    </row>
    <row r="136" spans="1:53" s="170" customFormat="1" ht="47.25" customHeight="1">
      <c r="A136" s="153" t="s">
        <v>192</v>
      </c>
      <c r="B136" s="1166"/>
      <c r="C136" s="1167"/>
      <c r="D136" s="1167"/>
      <c r="E136" s="1167"/>
      <c r="F136" s="1167"/>
      <c r="G136" s="1167"/>
      <c r="H136" s="1168"/>
      <c r="I136" s="1152"/>
      <c r="J136" s="42">
        <v>2809.44</v>
      </c>
      <c r="K136" s="165">
        <v>33713.5</v>
      </c>
      <c r="L136" s="166"/>
      <c r="M136" s="1176"/>
      <c r="N136" s="167"/>
      <c r="O136" s="168">
        <v>12</v>
      </c>
      <c r="P136" s="79">
        <f t="shared" si="36"/>
        <v>2809.46</v>
      </c>
      <c r="Q136" s="168">
        <v>33713.5</v>
      </c>
      <c r="R136" s="169">
        <v>33713.5</v>
      </c>
      <c r="S136" s="169">
        <v>33713.5</v>
      </c>
      <c r="T136" s="169">
        <v>33713.5</v>
      </c>
      <c r="U136" s="139">
        <v>26600.400000000001</v>
      </c>
      <c r="V136" s="139">
        <f t="shared" si="37"/>
        <v>26600.400000000001</v>
      </c>
      <c r="W136" s="137">
        <v>24142</v>
      </c>
      <c r="X136" s="137">
        <f t="shared" si="38"/>
        <v>24142</v>
      </c>
      <c r="Y136" s="137">
        <f t="shared" si="40"/>
        <v>24142</v>
      </c>
      <c r="Z136" s="40">
        <f t="shared" si="39"/>
        <v>24142</v>
      </c>
      <c r="AA136" s="909"/>
      <c r="AB136" s="909"/>
      <c r="AC136" s="909"/>
      <c r="AD136" s="909"/>
    </row>
    <row r="137" spans="1:53" ht="53.25" customHeight="1">
      <c r="A137" s="153" t="s">
        <v>177</v>
      </c>
      <c r="B137" s="1166"/>
      <c r="C137" s="1167"/>
      <c r="D137" s="1167"/>
      <c r="E137" s="1167"/>
      <c r="F137" s="1167"/>
      <c r="G137" s="1167"/>
      <c r="H137" s="1168"/>
      <c r="I137" s="1152"/>
      <c r="J137" s="78">
        <v>4269.88</v>
      </c>
      <c r="K137" s="154">
        <v>25619.279999999999</v>
      </c>
      <c r="L137" s="155"/>
      <c r="M137" s="1176"/>
      <c r="N137" s="135"/>
      <c r="O137" s="156">
        <v>12</v>
      </c>
      <c r="P137" s="79">
        <f t="shared" si="36"/>
        <v>2134.94</v>
      </c>
      <c r="Q137" s="156">
        <v>25619.3</v>
      </c>
      <c r="R137" s="157">
        <v>25619.3</v>
      </c>
      <c r="S137" s="157">
        <v>25619.3</v>
      </c>
      <c r="T137" s="157">
        <v>25619.3</v>
      </c>
      <c r="U137" s="139">
        <v>25652.400000000001</v>
      </c>
      <c r="V137" s="139">
        <f t="shared" si="37"/>
        <v>25652.400000000001</v>
      </c>
      <c r="W137" s="137">
        <v>18346</v>
      </c>
      <c r="X137" s="137">
        <f t="shared" si="38"/>
        <v>18346</v>
      </c>
      <c r="Y137" s="137">
        <f t="shared" si="40"/>
        <v>18346</v>
      </c>
      <c r="Z137" s="40">
        <f t="shared" si="39"/>
        <v>18346</v>
      </c>
    </row>
    <row r="138" spans="1:53" ht="53.25" customHeight="1">
      <c r="A138" s="153" t="s">
        <v>193</v>
      </c>
      <c r="B138" s="1166"/>
      <c r="C138" s="1167"/>
      <c r="D138" s="1167"/>
      <c r="E138" s="1167"/>
      <c r="F138" s="1167"/>
      <c r="G138" s="1167"/>
      <c r="H138" s="1168"/>
      <c r="I138" s="1152"/>
      <c r="J138" s="78">
        <v>32832.6</v>
      </c>
      <c r="K138" s="154">
        <v>32832.6</v>
      </c>
      <c r="L138" s="155"/>
      <c r="M138" s="1176"/>
      <c r="N138" s="135"/>
      <c r="O138" s="156">
        <v>12</v>
      </c>
      <c r="P138" s="79">
        <f t="shared" si="36"/>
        <v>3333.33</v>
      </c>
      <c r="Q138" s="156">
        <v>40000</v>
      </c>
      <c r="R138" s="157">
        <v>40000</v>
      </c>
      <c r="S138" s="158">
        <v>40000</v>
      </c>
      <c r="T138" s="158">
        <v>40000</v>
      </c>
      <c r="U138" s="159">
        <v>40000</v>
      </c>
      <c r="V138" s="139">
        <f t="shared" si="37"/>
        <v>40000</v>
      </c>
      <c r="W138" s="137">
        <f>U138*71.61/100</f>
        <v>28644</v>
      </c>
      <c r="X138" s="137">
        <f t="shared" si="38"/>
        <v>28644</v>
      </c>
      <c r="Y138" s="137">
        <f t="shared" si="40"/>
        <v>28644</v>
      </c>
      <c r="Z138" s="40">
        <f t="shared" si="39"/>
        <v>28644</v>
      </c>
      <c r="AA138" s="908"/>
      <c r="AB138" s="908"/>
      <c r="AC138" s="908"/>
      <c r="AD138" s="908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</row>
    <row r="139" spans="1:53" s="110" customFormat="1" ht="72" customHeight="1">
      <c r="A139" s="153" t="s">
        <v>178</v>
      </c>
      <c r="B139" s="1166"/>
      <c r="C139" s="1167"/>
      <c r="D139" s="1167"/>
      <c r="E139" s="1167"/>
      <c r="F139" s="1167"/>
      <c r="G139" s="1167"/>
      <c r="H139" s="1168"/>
      <c r="I139" s="1152"/>
      <c r="J139" s="78">
        <v>24506.68</v>
      </c>
      <c r="K139" s="154">
        <v>24506.68</v>
      </c>
      <c r="L139" s="155"/>
      <c r="M139" s="1176"/>
      <c r="N139" s="135"/>
      <c r="O139" s="156">
        <v>12</v>
      </c>
      <c r="P139" s="79">
        <f t="shared" si="36"/>
        <v>2083.33</v>
      </c>
      <c r="Q139" s="156">
        <v>25000</v>
      </c>
      <c r="R139" s="157">
        <v>25000</v>
      </c>
      <c r="S139" s="157">
        <v>25000</v>
      </c>
      <c r="T139" s="157">
        <v>25000</v>
      </c>
      <c r="U139" s="139">
        <v>37038</v>
      </c>
      <c r="V139" s="139">
        <f t="shared" si="37"/>
        <v>37038</v>
      </c>
      <c r="W139" s="137">
        <v>17902</v>
      </c>
      <c r="X139" s="137">
        <f t="shared" si="38"/>
        <v>17902</v>
      </c>
      <c r="Y139" s="137">
        <f t="shared" si="40"/>
        <v>17902</v>
      </c>
      <c r="Z139" s="40">
        <f t="shared" si="39"/>
        <v>17902</v>
      </c>
      <c r="AA139" s="908"/>
      <c r="AB139" s="908"/>
      <c r="AC139" s="908"/>
      <c r="AD139" s="908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</row>
    <row r="140" spans="1:53" s="104" customFormat="1" ht="56.25" customHeight="1">
      <c r="A140" s="153" t="s">
        <v>175</v>
      </c>
      <c r="B140" s="1166"/>
      <c r="C140" s="1167"/>
      <c r="D140" s="1167"/>
      <c r="E140" s="1167"/>
      <c r="F140" s="1167"/>
      <c r="G140" s="1167"/>
      <c r="H140" s="1168"/>
      <c r="I140" s="1152"/>
      <c r="J140" s="78">
        <v>0</v>
      </c>
      <c r="K140" s="154">
        <v>0</v>
      </c>
      <c r="L140" s="160"/>
      <c r="M140" s="1176"/>
      <c r="N140" s="135"/>
      <c r="O140" s="156">
        <v>12</v>
      </c>
      <c r="P140" s="79">
        <f t="shared" si="36"/>
        <v>3700</v>
      </c>
      <c r="Q140" s="156">
        <v>44400</v>
      </c>
      <c r="R140" s="157">
        <v>44400</v>
      </c>
      <c r="S140" s="158">
        <v>44400</v>
      </c>
      <c r="T140" s="158">
        <v>44400</v>
      </c>
      <c r="U140" s="159">
        <v>22190.400000000001</v>
      </c>
      <c r="V140" s="139">
        <f t="shared" si="37"/>
        <v>22190.400000000001</v>
      </c>
      <c r="W140" s="137">
        <v>31795</v>
      </c>
      <c r="X140" s="137">
        <f t="shared" si="38"/>
        <v>31795</v>
      </c>
      <c r="Y140" s="137">
        <f t="shared" si="40"/>
        <v>31795</v>
      </c>
      <c r="Z140" s="40">
        <f t="shared" si="39"/>
        <v>31795</v>
      </c>
      <c r="AA140" s="908"/>
      <c r="AB140" s="908"/>
      <c r="AC140" s="908"/>
      <c r="AD140" s="908"/>
    </row>
    <row r="141" spans="1:53" ht="72" customHeight="1">
      <c r="A141" s="171" t="s">
        <v>176</v>
      </c>
      <c r="B141" s="1169"/>
      <c r="C141" s="1170"/>
      <c r="D141" s="1170"/>
      <c r="E141" s="1170"/>
      <c r="F141" s="1170"/>
      <c r="G141" s="1170"/>
      <c r="H141" s="1171"/>
      <c r="I141" s="1153"/>
      <c r="J141" s="78">
        <v>0</v>
      </c>
      <c r="K141" s="159">
        <v>49461</v>
      </c>
      <c r="L141" s="155"/>
      <c r="M141" s="1177"/>
      <c r="N141" s="135"/>
      <c r="O141" s="156">
        <v>12</v>
      </c>
      <c r="P141" s="79">
        <f t="shared" si="36"/>
        <v>4121.75</v>
      </c>
      <c r="Q141" s="156">
        <v>49461</v>
      </c>
      <c r="R141" s="157">
        <v>49461</v>
      </c>
      <c r="S141" s="158">
        <v>49461</v>
      </c>
      <c r="T141" s="158">
        <v>49461</v>
      </c>
      <c r="U141" s="159">
        <v>49016.4</v>
      </c>
      <c r="V141" s="139">
        <f t="shared" si="37"/>
        <v>49016.4</v>
      </c>
      <c r="W141" s="137">
        <v>35419</v>
      </c>
      <c r="X141" s="137">
        <f t="shared" si="38"/>
        <v>35419</v>
      </c>
      <c r="Y141" s="137">
        <f t="shared" si="40"/>
        <v>35419</v>
      </c>
      <c r="Z141" s="40">
        <f t="shared" si="39"/>
        <v>35419</v>
      </c>
      <c r="AA141" s="908"/>
      <c r="AB141" s="908"/>
      <c r="AC141" s="908"/>
      <c r="AD141" s="908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</row>
    <row r="142" spans="1:53" ht="72" customHeight="1">
      <c r="A142" s="171" t="s">
        <v>132</v>
      </c>
      <c r="B142" s="172"/>
      <c r="C142" s="173"/>
      <c r="D142" s="173"/>
      <c r="E142" s="173"/>
      <c r="F142" s="173"/>
      <c r="G142" s="173"/>
      <c r="H142" s="174"/>
      <c r="I142" s="175"/>
      <c r="J142" s="78"/>
      <c r="K142" s="159"/>
      <c r="L142" s="155"/>
      <c r="M142" s="176"/>
      <c r="N142" s="135"/>
      <c r="O142" s="156"/>
      <c r="P142" s="79"/>
      <c r="Q142" s="156"/>
      <c r="R142" s="157"/>
      <c r="S142" s="158"/>
      <c r="T142" s="158"/>
      <c r="U142" s="159">
        <v>561827.56999999995</v>
      </c>
      <c r="V142" s="139">
        <f t="shared" si="37"/>
        <v>561827.56999999995</v>
      </c>
      <c r="W142" s="137">
        <v>0</v>
      </c>
      <c r="X142" s="137">
        <v>0</v>
      </c>
      <c r="Y142" s="137">
        <f t="shared" si="40"/>
        <v>0</v>
      </c>
      <c r="Z142" s="40">
        <f t="shared" si="39"/>
        <v>0</v>
      </c>
      <c r="AA142" s="908"/>
      <c r="AB142" s="908"/>
      <c r="AC142" s="908"/>
      <c r="AD142" s="908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</row>
    <row r="143" spans="1:53" ht="293.25" customHeight="1">
      <c r="A143" s="21" t="s">
        <v>194</v>
      </c>
      <c r="B143" s="68" t="s">
        <v>22</v>
      </c>
      <c r="C143" s="68" t="s">
        <v>23</v>
      </c>
      <c r="D143" s="68" t="s">
        <v>195</v>
      </c>
      <c r="E143" s="68" t="s">
        <v>25</v>
      </c>
      <c r="F143" s="68" t="s">
        <v>196</v>
      </c>
      <c r="G143" s="68" t="s">
        <v>197</v>
      </c>
      <c r="H143" s="68" t="s">
        <v>28</v>
      </c>
      <c r="I143" s="50" t="s">
        <v>198</v>
      </c>
      <c r="J143" s="23" t="e">
        <f>#REF!+#REF!+J145</f>
        <v>#REF!</v>
      </c>
      <c r="K143" s="24" t="e">
        <f>#REF!+#REF!</f>
        <v>#REF!</v>
      </c>
      <c r="L143" s="51"/>
      <c r="M143" s="26"/>
      <c r="N143" s="127"/>
      <c r="O143" s="28"/>
      <c r="P143" s="29" t="e">
        <f>#REF!+#REF!</f>
        <v>#REF!</v>
      </c>
      <c r="Q143" s="29" t="e">
        <f>#REF!+Q144</f>
        <v>#REF!</v>
      </c>
      <c r="R143" s="29" t="e">
        <f>#REF!+R144</f>
        <v>#REF!</v>
      </c>
      <c r="S143" s="29" t="e">
        <f>#REF!+S144</f>
        <v>#REF!</v>
      </c>
      <c r="T143" s="29" t="e">
        <f>#REF!+T144</f>
        <v>#REF!</v>
      </c>
      <c r="U143" s="24">
        <f t="shared" ref="U143:Z144" si="41">U144</f>
        <v>200000</v>
      </c>
      <c r="V143" s="24">
        <f t="shared" si="41"/>
        <v>200000</v>
      </c>
      <c r="W143" s="24">
        <f t="shared" si="41"/>
        <v>100000</v>
      </c>
      <c r="X143" s="24">
        <f t="shared" si="41"/>
        <v>100000</v>
      </c>
      <c r="Y143" s="24">
        <f t="shared" si="41"/>
        <v>100000</v>
      </c>
      <c r="Z143" s="24">
        <f t="shared" si="41"/>
        <v>100000</v>
      </c>
      <c r="AA143" s="908"/>
      <c r="AB143" s="908"/>
      <c r="AC143" s="908"/>
      <c r="AD143" s="908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</row>
    <row r="144" spans="1:53" ht="44.25" customHeight="1">
      <c r="A144" s="1003" t="s">
        <v>199</v>
      </c>
      <c r="B144" s="1178"/>
      <c r="C144" s="1178"/>
      <c r="D144" s="1178"/>
      <c r="E144" s="1178"/>
      <c r="F144" s="1178"/>
      <c r="G144" s="1178"/>
      <c r="H144" s="1178"/>
      <c r="I144" s="177"/>
      <c r="J144" s="78"/>
      <c r="K144" s="178"/>
      <c r="L144" s="43"/>
      <c r="M144" s="179" t="s">
        <v>200</v>
      </c>
      <c r="N144" s="135"/>
      <c r="O144" s="156" t="e">
        <f>#REF!+O145+#REF!+#REF!</f>
        <v>#REF!</v>
      </c>
      <c r="P144" s="156"/>
      <c r="Q144" s="168" t="e">
        <f>#REF!+#REF!+Q145+#REF!+#REF!</f>
        <v>#REF!</v>
      </c>
      <c r="R144" s="168" t="e">
        <f>#REF!+#REF!+R145+#REF!+#REF!</f>
        <v>#REF!</v>
      </c>
      <c r="S144" s="168" t="e">
        <f>#REF!+#REF!+S145+#REF!+#REF!</f>
        <v>#REF!</v>
      </c>
      <c r="T144" s="168" t="e">
        <f>#REF!+#REF!+T145+#REF!+#REF!</f>
        <v>#REF!</v>
      </c>
      <c r="U144" s="180">
        <f t="shared" si="41"/>
        <v>200000</v>
      </c>
      <c r="V144" s="180">
        <f t="shared" si="41"/>
        <v>200000</v>
      </c>
      <c r="W144" s="180">
        <f t="shared" si="41"/>
        <v>100000</v>
      </c>
      <c r="X144" s="180">
        <f t="shared" si="41"/>
        <v>100000</v>
      </c>
      <c r="Y144" s="180">
        <f t="shared" si="41"/>
        <v>100000</v>
      </c>
      <c r="Z144" s="180">
        <f t="shared" si="41"/>
        <v>100000</v>
      </c>
      <c r="AA144" s="908"/>
      <c r="AB144" s="908"/>
      <c r="AC144" s="908"/>
      <c r="AD144" s="908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</row>
    <row r="145" spans="1:53" ht="118.5" customHeight="1">
      <c r="A145" s="912"/>
      <c r="B145" s="1178"/>
      <c r="C145" s="1178"/>
      <c r="D145" s="1178"/>
      <c r="E145" s="1178"/>
      <c r="F145" s="1178"/>
      <c r="G145" s="1178"/>
      <c r="H145" s="1178"/>
      <c r="I145" s="44" t="s">
        <v>201</v>
      </c>
      <c r="J145" s="78">
        <v>38880</v>
      </c>
      <c r="K145" s="181"/>
      <c r="L145" s="161" t="s">
        <v>32</v>
      </c>
      <c r="M145" s="74" t="s">
        <v>202</v>
      </c>
      <c r="N145" s="55" t="s">
        <v>98</v>
      </c>
      <c r="O145" s="156">
        <v>20000</v>
      </c>
      <c r="P145" s="156">
        <v>29</v>
      </c>
      <c r="Q145" s="182">
        <f>ROUND(O145*P145,0)</f>
        <v>580000</v>
      </c>
      <c r="R145" s="183">
        <f>Q145</f>
        <v>580000</v>
      </c>
      <c r="S145" s="183">
        <f>R145</f>
        <v>580000</v>
      </c>
      <c r="T145" s="183">
        <f>S145</f>
        <v>580000</v>
      </c>
      <c r="U145" s="39">
        <v>200000</v>
      </c>
      <c r="V145" s="39">
        <f>U145</f>
        <v>200000</v>
      </c>
      <c r="W145" s="39">
        <v>100000</v>
      </c>
      <c r="X145" s="39">
        <f>W145</f>
        <v>100000</v>
      </c>
      <c r="Y145" s="39">
        <v>100000</v>
      </c>
      <c r="Z145" s="40">
        <f>Y145</f>
        <v>100000</v>
      </c>
      <c r="AA145" s="908"/>
      <c r="AB145" s="908"/>
      <c r="AC145" s="908"/>
      <c r="AD145" s="908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</row>
    <row r="146" spans="1:53" ht="306" customHeight="1">
      <c r="A146" s="184" t="s">
        <v>203</v>
      </c>
      <c r="B146" s="185">
        <v>811</v>
      </c>
      <c r="C146" s="186" t="s">
        <v>146</v>
      </c>
      <c r="D146" s="185" t="s">
        <v>147</v>
      </c>
      <c r="E146" s="185">
        <v>612</v>
      </c>
      <c r="F146" s="185"/>
      <c r="G146" s="187" t="s">
        <v>204</v>
      </c>
      <c r="H146" s="185">
        <v>1111</v>
      </c>
      <c r="I146" s="50" t="s">
        <v>150</v>
      </c>
      <c r="J146" s="69"/>
      <c r="K146" s="188"/>
      <c r="L146" s="189"/>
      <c r="M146" s="190"/>
      <c r="N146" s="191"/>
      <c r="O146" s="192"/>
      <c r="P146" s="192"/>
      <c r="Q146" s="193"/>
      <c r="R146" s="194"/>
      <c r="S146" s="194"/>
      <c r="T146" s="194"/>
      <c r="U146" s="143">
        <f t="shared" ref="U146:Z146" si="42">U147</f>
        <v>6500000</v>
      </c>
      <c r="V146" s="143">
        <f t="shared" si="42"/>
        <v>6500000</v>
      </c>
      <c r="W146" s="143">
        <f t="shared" si="42"/>
        <v>0</v>
      </c>
      <c r="X146" s="143">
        <f t="shared" si="42"/>
        <v>0</v>
      </c>
      <c r="Y146" s="143">
        <f t="shared" si="42"/>
        <v>0</v>
      </c>
      <c r="Z146" s="143">
        <f t="shared" si="42"/>
        <v>0</v>
      </c>
      <c r="AA146" s="908"/>
      <c r="AB146" s="908"/>
      <c r="AC146" s="908"/>
      <c r="AD146" s="908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</row>
    <row r="147" spans="1:53" ht="111.75" customHeight="1">
      <c r="A147" s="123" t="s">
        <v>132</v>
      </c>
      <c r="B147" s="195"/>
      <c r="C147" s="196"/>
      <c r="D147" s="196"/>
      <c r="E147" s="196"/>
      <c r="F147" s="196"/>
      <c r="G147" s="196"/>
      <c r="H147" s="197"/>
      <c r="I147" s="44" t="s">
        <v>205</v>
      </c>
      <c r="J147" s="78"/>
      <c r="K147" s="181"/>
      <c r="L147" s="161"/>
      <c r="M147" s="74"/>
      <c r="N147" s="55"/>
      <c r="O147" s="156"/>
      <c r="P147" s="156"/>
      <c r="Q147" s="182"/>
      <c r="R147" s="183"/>
      <c r="S147" s="183"/>
      <c r="T147" s="183"/>
      <c r="U147" s="39">
        <v>6500000</v>
      </c>
      <c r="V147" s="39">
        <v>6500000</v>
      </c>
      <c r="W147" s="39">
        <v>0</v>
      </c>
      <c r="X147" s="39">
        <v>0</v>
      </c>
      <c r="Y147" s="39">
        <v>0</v>
      </c>
      <c r="Z147" s="40">
        <v>0</v>
      </c>
      <c r="AA147" s="908"/>
      <c r="AB147" s="908"/>
      <c r="AC147" s="908"/>
      <c r="AD147" s="908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</row>
    <row r="148" spans="1:53" ht="270" customHeight="1">
      <c r="A148" s="184" t="s">
        <v>206</v>
      </c>
      <c r="B148" s="185">
        <v>811</v>
      </c>
      <c r="C148" s="186" t="s">
        <v>146</v>
      </c>
      <c r="D148" s="185" t="s">
        <v>147</v>
      </c>
      <c r="E148" s="185">
        <v>612</v>
      </c>
      <c r="F148" s="185"/>
      <c r="G148" s="186" t="s">
        <v>207</v>
      </c>
      <c r="H148" s="185">
        <v>1111</v>
      </c>
      <c r="I148" s="21" t="s">
        <v>150</v>
      </c>
      <c r="J148" s="69"/>
      <c r="K148" s="188"/>
      <c r="L148" s="189"/>
      <c r="M148" s="190"/>
      <c r="N148" s="191"/>
      <c r="O148" s="192"/>
      <c r="P148" s="192"/>
      <c r="Q148" s="193"/>
      <c r="R148" s="194"/>
      <c r="S148" s="194"/>
      <c r="T148" s="194"/>
      <c r="U148" s="143">
        <f t="shared" ref="U148:Z148" si="43">U149+U150+U151+U152</f>
        <v>7706070.8200000003</v>
      </c>
      <c r="V148" s="143">
        <f t="shared" si="43"/>
        <v>7706070.8200000003</v>
      </c>
      <c r="W148" s="143">
        <f t="shared" si="43"/>
        <v>0</v>
      </c>
      <c r="X148" s="143">
        <f t="shared" si="43"/>
        <v>0</v>
      </c>
      <c r="Y148" s="143">
        <f t="shared" si="43"/>
        <v>0</v>
      </c>
      <c r="Z148" s="143">
        <f t="shared" si="43"/>
        <v>0</v>
      </c>
      <c r="AA148" s="908"/>
      <c r="AB148" s="908"/>
      <c r="AC148" s="908"/>
      <c r="AD148" s="908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</row>
    <row r="149" spans="1:53" s="152" customFormat="1" ht="68.25" customHeight="1">
      <c r="A149" s="198" t="s">
        <v>158</v>
      </c>
      <c r="B149" s="1142"/>
      <c r="C149" s="1143"/>
      <c r="D149" s="1143"/>
      <c r="E149" s="1143"/>
      <c r="F149" s="1143"/>
      <c r="G149" s="1143"/>
      <c r="H149" s="1144"/>
      <c r="I149" s="1151" t="s">
        <v>208</v>
      </c>
      <c r="J149" s="199"/>
      <c r="K149" s="200"/>
      <c r="L149" s="201"/>
      <c r="M149" s="1154"/>
      <c r="N149" s="1157"/>
      <c r="O149" s="202"/>
      <c r="P149" s="202"/>
      <c r="Q149" s="203"/>
      <c r="R149" s="204"/>
      <c r="S149" s="204"/>
      <c r="T149" s="204"/>
      <c r="U149" s="121">
        <f>2259480.5+2933424.5</f>
        <v>5192905</v>
      </c>
      <c r="V149" s="121">
        <f>U149</f>
        <v>5192905</v>
      </c>
      <c r="W149" s="121">
        <v>0</v>
      </c>
      <c r="X149" s="121">
        <v>0</v>
      </c>
      <c r="Y149" s="121">
        <v>0</v>
      </c>
      <c r="Z149" s="121">
        <v>0</v>
      </c>
      <c r="AA149" s="908"/>
      <c r="AB149" s="908"/>
      <c r="AC149" s="908"/>
      <c r="AD149" s="908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</row>
    <row r="150" spans="1:53" s="152" customFormat="1" ht="50.25" customHeight="1">
      <c r="A150" s="198" t="s">
        <v>160</v>
      </c>
      <c r="B150" s="1145"/>
      <c r="C150" s="1146"/>
      <c r="D150" s="1146"/>
      <c r="E150" s="1146"/>
      <c r="F150" s="1146"/>
      <c r="G150" s="1146"/>
      <c r="H150" s="1147"/>
      <c r="I150" s="1152"/>
      <c r="J150" s="199"/>
      <c r="K150" s="200"/>
      <c r="L150" s="201"/>
      <c r="M150" s="1155"/>
      <c r="N150" s="1158"/>
      <c r="O150" s="202"/>
      <c r="P150" s="202"/>
      <c r="Q150" s="203"/>
      <c r="R150" s="204"/>
      <c r="S150" s="204"/>
      <c r="T150" s="204"/>
      <c r="U150" s="121">
        <v>600511.03</v>
      </c>
      <c r="V150" s="121">
        <f>U150</f>
        <v>600511.03</v>
      </c>
      <c r="W150" s="121">
        <v>0</v>
      </c>
      <c r="X150" s="121">
        <v>0</v>
      </c>
      <c r="Y150" s="121">
        <v>0</v>
      </c>
      <c r="Z150" s="121">
        <v>0</v>
      </c>
      <c r="AA150" s="908"/>
      <c r="AB150" s="908"/>
      <c r="AC150" s="908"/>
      <c r="AD150" s="908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</row>
    <row r="151" spans="1:53" s="152" customFormat="1" ht="42.75" customHeight="1">
      <c r="A151" s="198" t="s">
        <v>162</v>
      </c>
      <c r="B151" s="1145"/>
      <c r="C151" s="1146"/>
      <c r="D151" s="1146"/>
      <c r="E151" s="1146"/>
      <c r="F151" s="1146"/>
      <c r="G151" s="1146"/>
      <c r="H151" s="1147"/>
      <c r="I151" s="1152"/>
      <c r="J151" s="206"/>
      <c r="K151" s="207"/>
      <c r="L151" s="208"/>
      <c r="M151" s="1155"/>
      <c r="N151" s="1158"/>
      <c r="O151" s="209"/>
      <c r="P151" s="209"/>
      <c r="Q151" s="210"/>
      <c r="R151" s="211"/>
      <c r="S151" s="211"/>
      <c r="T151" s="211"/>
      <c r="U151" s="121">
        <v>654665.62</v>
      </c>
      <c r="V151" s="121">
        <f>U151</f>
        <v>654665.62</v>
      </c>
      <c r="W151" s="121">
        <v>0</v>
      </c>
      <c r="X151" s="121">
        <v>0</v>
      </c>
      <c r="Y151" s="121">
        <v>0</v>
      </c>
      <c r="Z151" s="121">
        <v>0</v>
      </c>
      <c r="AA151" s="908"/>
      <c r="AB151" s="908"/>
      <c r="AC151" s="908"/>
      <c r="AD151" s="908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</row>
    <row r="152" spans="1:53" s="152" customFormat="1" ht="47.25" customHeight="1">
      <c r="A152" s="198" t="s">
        <v>193</v>
      </c>
      <c r="B152" s="1148"/>
      <c r="C152" s="1149"/>
      <c r="D152" s="1149"/>
      <c r="E152" s="1149"/>
      <c r="F152" s="1149"/>
      <c r="G152" s="1149"/>
      <c r="H152" s="1150"/>
      <c r="I152" s="1153"/>
      <c r="J152" s="199"/>
      <c r="K152" s="200"/>
      <c r="L152" s="201"/>
      <c r="M152" s="1156"/>
      <c r="N152" s="1159"/>
      <c r="O152" s="202"/>
      <c r="P152" s="202"/>
      <c r="Q152" s="203"/>
      <c r="R152" s="204"/>
      <c r="S152" s="204"/>
      <c r="T152" s="204"/>
      <c r="U152" s="121">
        <v>1257989.17</v>
      </c>
      <c r="V152" s="121">
        <f>U152</f>
        <v>1257989.17</v>
      </c>
      <c r="W152" s="121">
        <v>0</v>
      </c>
      <c r="X152" s="121">
        <v>0</v>
      </c>
      <c r="Y152" s="121">
        <v>0</v>
      </c>
      <c r="Z152" s="121">
        <v>0</v>
      </c>
      <c r="AA152" s="908"/>
      <c r="AB152" s="908"/>
      <c r="AC152" s="908"/>
      <c r="AD152" s="908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</row>
    <row r="153" spans="1:53" s="152" customFormat="1" ht="213" customHeight="1">
      <c r="A153" s="212" t="s">
        <v>209</v>
      </c>
      <c r="B153" s="185">
        <v>811</v>
      </c>
      <c r="C153" s="186" t="s">
        <v>146</v>
      </c>
      <c r="D153" s="185" t="s">
        <v>210</v>
      </c>
      <c r="E153" s="185">
        <v>612</v>
      </c>
      <c r="F153" s="185"/>
      <c r="G153" s="187" t="s">
        <v>211</v>
      </c>
      <c r="H153" s="185">
        <v>1121</v>
      </c>
      <c r="I153" s="21" t="s">
        <v>150</v>
      </c>
      <c r="J153" s="69"/>
      <c r="K153" s="188"/>
      <c r="L153" s="189"/>
      <c r="M153" s="213"/>
      <c r="N153" s="214"/>
      <c r="O153" s="192"/>
      <c r="P153" s="192"/>
      <c r="Q153" s="193"/>
      <c r="R153" s="194"/>
      <c r="S153" s="194"/>
      <c r="T153" s="194"/>
      <c r="U153" s="215">
        <f t="shared" ref="U153:Z153" si="44">U154</f>
        <v>1000000</v>
      </c>
      <c r="V153" s="215">
        <f t="shared" si="44"/>
        <v>1000000</v>
      </c>
      <c r="W153" s="215">
        <f t="shared" si="44"/>
        <v>0</v>
      </c>
      <c r="X153" s="215">
        <f t="shared" si="44"/>
        <v>0</v>
      </c>
      <c r="Y153" s="215">
        <f t="shared" si="44"/>
        <v>0</v>
      </c>
      <c r="Z153" s="215">
        <f t="shared" si="44"/>
        <v>0</v>
      </c>
      <c r="AA153" s="908"/>
      <c r="AB153" s="908"/>
      <c r="AC153" s="908"/>
      <c r="AD153" s="908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</row>
    <row r="154" spans="1:53" s="152" customFormat="1" ht="123" customHeight="1">
      <c r="A154" s="198" t="s">
        <v>162</v>
      </c>
      <c r="B154" s="216"/>
      <c r="C154" s="217"/>
      <c r="D154" s="217"/>
      <c r="E154" s="217"/>
      <c r="F154" s="217"/>
      <c r="G154" s="217"/>
      <c r="H154" s="218"/>
      <c r="I154" s="219" t="s">
        <v>212</v>
      </c>
      <c r="J154" s="199"/>
      <c r="K154" s="200"/>
      <c r="L154" s="201"/>
      <c r="M154" s="220" t="s">
        <v>213</v>
      </c>
      <c r="N154" s="221"/>
      <c r="O154" s="202"/>
      <c r="P154" s="202"/>
      <c r="Q154" s="203"/>
      <c r="R154" s="204"/>
      <c r="S154" s="204"/>
      <c r="T154" s="204"/>
      <c r="U154" s="121">
        <v>1000000</v>
      </c>
      <c r="V154" s="121">
        <v>1000000</v>
      </c>
      <c r="W154" s="121">
        <v>0</v>
      </c>
      <c r="X154" s="121">
        <v>0</v>
      </c>
      <c r="Y154" s="121">
        <v>0</v>
      </c>
      <c r="Z154" s="121">
        <v>0</v>
      </c>
      <c r="AA154" s="908"/>
      <c r="AB154" s="908"/>
      <c r="AC154" s="908"/>
      <c r="AD154" s="908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</row>
    <row r="155" spans="1:53" ht="51.75" customHeight="1">
      <c r="A155" s="1160" t="s">
        <v>214</v>
      </c>
      <c r="B155" s="1160"/>
      <c r="C155" s="1160"/>
      <c r="D155" s="1160"/>
      <c r="E155" s="1160"/>
      <c r="F155" s="1160"/>
      <c r="G155" s="1160"/>
      <c r="H155" s="1160"/>
      <c r="I155" s="1160"/>
      <c r="J155" s="1160"/>
      <c r="K155" s="1160"/>
      <c r="L155" s="1160"/>
      <c r="M155" s="1160"/>
      <c r="N155" s="1160"/>
      <c r="O155" s="222"/>
      <c r="P155" s="223"/>
      <c r="Q155" s="224"/>
      <c r="R155" s="225"/>
      <c r="S155" s="225"/>
      <c r="T155" s="225"/>
      <c r="U155" s="226">
        <f t="shared" ref="U155:Z155" si="45">U156+U158</f>
        <v>101768.42</v>
      </c>
      <c r="V155" s="226">
        <f t="shared" si="45"/>
        <v>101768.42</v>
      </c>
      <c r="W155" s="226">
        <f t="shared" si="45"/>
        <v>101589.48</v>
      </c>
      <c r="X155" s="226">
        <f t="shared" si="45"/>
        <v>101589.48</v>
      </c>
      <c r="Y155" s="226">
        <f t="shared" si="45"/>
        <v>101589.48</v>
      </c>
      <c r="Z155" s="226">
        <f t="shared" si="45"/>
        <v>101589.48</v>
      </c>
      <c r="AA155" s="908"/>
      <c r="AB155" s="908"/>
      <c r="AC155" s="908"/>
      <c r="AD155" s="908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</row>
    <row r="156" spans="1:53" ht="169.5" customHeight="1">
      <c r="A156" s="190" t="s">
        <v>215</v>
      </c>
      <c r="B156" s="227">
        <v>811</v>
      </c>
      <c r="C156" s="228" t="s">
        <v>23</v>
      </c>
      <c r="D156" s="227" t="s">
        <v>216</v>
      </c>
      <c r="E156" s="227">
        <v>612</v>
      </c>
      <c r="F156" s="227"/>
      <c r="G156" s="227" t="s">
        <v>217</v>
      </c>
      <c r="H156" s="227">
        <v>1111</v>
      </c>
      <c r="I156" s="21" t="s">
        <v>29</v>
      </c>
      <c r="J156" s="189"/>
      <c r="K156" s="189"/>
      <c r="L156" s="189" t="s">
        <v>77</v>
      </c>
      <c r="M156" s="189"/>
      <c r="N156" s="189"/>
      <c r="O156" s="229"/>
      <c r="P156" s="192"/>
      <c r="Q156" s="230"/>
      <c r="R156" s="231"/>
      <c r="S156" s="231"/>
      <c r="T156" s="231"/>
      <c r="U156" s="232">
        <f t="shared" ref="U156:Z158" si="46">U157</f>
        <v>0</v>
      </c>
      <c r="V156" s="232">
        <f t="shared" si="46"/>
        <v>0</v>
      </c>
      <c r="W156" s="232">
        <f t="shared" si="46"/>
        <v>101589.48</v>
      </c>
      <c r="X156" s="232">
        <f t="shared" si="46"/>
        <v>101589.48</v>
      </c>
      <c r="Y156" s="232">
        <f t="shared" si="46"/>
        <v>101589.48</v>
      </c>
      <c r="Z156" s="232">
        <f t="shared" si="46"/>
        <v>101589.48</v>
      </c>
      <c r="AA156" s="908"/>
      <c r="AB156" s="908"/>
      <c r="AC156" s="908"/>
      <c r="AD156" s="908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</row>
    <row r="157" spans="1:53" ht="148.5" customHeight="1">
      <c r="A157" s="233" t="s">
        <v>218</v>
      </c>
      <c r="B157" s="234"/>
      <c r="C157" s="234"/>
      <c r="D157" s="234"/>
      <c r="E157" s="234"/>
      <c r="F157" s="234"/>
      <c r="G157" s="234"/>
      <c r="H157" s="234"/>
      <c r="I157" s="233" t="s">
        <v>219</v>
      </c>
      <c r="J157" s="234"/>
      <c r="K157" s="234"/>
      <c r="L157" s="234"/>
      <c r="M157" s="233" t="s">
        <v>220</v>
      </c>
      <c r="N157" s="234"/>
      <c r="O157" s="164"/>
      <c r="P157" s="156"/>
      <c r="Q157" s="155"/>
      <c r="R157" s="183"/>
      <c r="S157" s="183"/>
      <c r="T157" s="183"/>
      <c r="U157" s="39">
        <v>0</v>
      </c>
      <c r="V157" s="39">
        <v>0</v>
      </c>
      <c r="W157" s="235">
        <v>101589.48</v>
      </c>
      <c r="X157" s="235">
        <f>W157</f>
        <v>101589.48</v>
      </c>
      <c r="Y157" s="39">
        <v>101589.48</v>
      </c>
      <c r="Z157" s="40">
        <f>Y157</f>
        <v>101589.48</v>
      </c>
      <c r="AA157" s="908"/>
      <c r="AB157" s="908"/>
      <c r="AC157" s="908"/>
      <c r="AD157" s="908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</row>
    <row r="158" spans="1:53" ht="243" customHeight="1">
      <c r="A158" s="190" t="s">
        <v>215</v>
      </c>
      <c r="B158" s="227">
        <v>811</v>
      </c>
      <c r="C158" s="228" t="s">
        <v>23</v>
      </c>
      <c r="D158" s="227" t="s">
        <v>216</v>
      </c>
      <c r="E158" s="227">
        <v>612</v>
      </c>
      <c r="F158" s="227"/>
      <c r="G158" s="227" t="s">
        <v>221</v>
      </c>
      <c r="H158" s="227">
        <v>1111</v>
      </c>
      <c r="I158" s="21" t="s">
        <v>29</v>
      </c>
      <c r="J158" s="189"/>
      <c r="K158" s="189"/>
      <c r="L158" s="189" t="s">
        <v>77</v>
      </c>
      <c r="M158" s="189"/>
      <c r="N158" s="189"/>
      <c r="O158" s="229"/>
      <c r="P158" s="192"/>
      <c r="Q158" s="230"/>
      <c r="R158" s="231"/>
      <c r="S158" s="231"/>
      <c r="T158" s="231"/>
      <c r="U158" s="232">
        <f t="shared" si="46"/>
        <v>101768.42</v>
      </c>
      <c r="V158" s="232">
        <f t="shared" si="46"/>
        <v>101768.42</v>
      </c>
      <c r="W158" s="232">
        <f t="shared" si="46"/>
        <v>0</v>
      </c>
      <c r="X158" s="232">
        <f t="shared" si="46"/>
        <v>0</v>
      </c>
      <c r="Y158" s="232">
        <f t="shared" si="46"/>
        <v>0</v>
      </c>
      <c r="Z158" s="232">
        <f t="shared" si="46"/>
        <v>0</v>
      </c>
      <c r="AA158" s="908"/>
      <c r="AB158" s="908"/>
      <c r="AC158" s="908"/>
      <c r="AD158" s="908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</row>
    <row r="159" spans="1:53" ht="172.5" customHeight="1">
      <c r="A159" s="233" t="s">
        <v>218</v>
      </c>
      <c r="B159" s="234"/>
      <c r="C159" s="234"/>
      <c r="D159" s="234"/>
      <c r="E159" s="234"/>
      <c r="F159" s="234"/>
      <c r="G159" s="234"/>
      <c r="H159" s="234"/>
      <c r="I159" s="233" t="s">
        <v>219</v>
      </c>
      <c r="J159" s="234"/>
      <c r="K159" s="234"/>
      <c r="L159" s="234"/>
      <c r="M159" s="233" t="s">
        <v>220</v>
      </c>
      <c r="N159" s="234"/>
      <c r="O159" s="164"/>
      <c r="P159" s="156"/>
      <c r="Q159" s="155"/>
      <c r="R159" s="183"/>
      <c r="S159" s="183"/>
      <c r="T159" s="183"/>
      <c r="U159" s="39">
        <v>101768.42</v>
      </c>
      <c r="V159" s="39">
        <f>U159</f>
        <v>101768.42</v>
      </c>
      <c r="W159" s="235">
        <v>0</v>
      </c>
      <c r="X159" s="235">
        <v>0</v>
      </c>
      <c r="Y159" s="39">
        <v>0</v>
      </c>
      <c r="Z159" s="40">
        <f>Y159</f>
        <v>0</v>
      </c>
      <c r="AA159" s="908"/>
      <c r="AB159" s="908"/>
      <c r="AC159" s="908"/>
      <c r="AD159" s="908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</row>
    <row r="160" spans="1:53" ht="86.25" customHeight="1">
      <c r="A160" s="1161" t="s">
        <v>222</v>
      </c>
      <c r="B160" s="1162"/>
      <c r="C160" s="1162"/>
      <c r="D160" s="1162"/>
      <c r="E160" s="1162"/>
      <c r="F160" s="1162"/>
      <c r="G160" s="1162"/>
      <c r="H160" s="1162"/>
      <c r="I160" s="1162"/>
      <c r="J160" s="1162"/>
      <c r="K160" s="1162"/>
      <c r="L160" s="1162"/>
      <c r="M160" s="1162"/>
      <c r="N160" s="236"/>
      <c r="O160" s="237"/>
      <c r="P160" s="237"/>
      <c r="Q160" s="237"/>
      <c r="R160" s="238" t="e">
        <f>R161+R182+R276+R278+R285+R289</f>
        <v>#REF!</v>
      </c>
      <c r="S160" s="238" t="e">
        <f>S161+S182+S276+S278+S285+S289</f>
        <v>#REF!</v>
      </c>
      <c r="T160" s="238" t="e">
        <f>T161+T182+T276+T278+T285+T289</f>
        <v>#REF!</v>
      </c>
      <c r="U160" s="239">
        <f t="shared" ref="U160:Z160" si="47">U161+U182++U276+U278+U285+U289+U294+U306+U296+U300+U304</f>
        <v>103012790.42</v>
      </c>
      <c r="V160" s="239">
        <f t="shared" si="47"/>
        <v>103012790.42</v>
      </c>
      <c r="W160" s="239">
        <f t="shared" si="47"/>
        <v>54506479.909999996</v>
      </c>
      <c r="X160" s="239">
        <f t="shared" si="47"/>
        <v>54506479.909999996</v>
      </c>
      <c r="Y160" s="239">
        <f t="shared" si="47"/>
        <v>54506479.909999996</v>
      </c>
      <c r="Z160" s="239">
        <f t="shared" si="47"/>
        <v>54506479.909999996</v>
      </c>
    </row>
    <row r="161" spans="1:87" ht="148.5" customHeight="1">
      <c r="A161" s="240" t="s">
        <v>223</v>
      </c>
      <c r="B161" s="241" t="s">
        <v>22</v>
      </c>
      <c r="C161" s="241" t="s">
        <v>23</v>
      </c>
      <c r="D161" s="241" t="s">
        <v>224</v>
      </c>
      <c r="E161" s="241" t="s">
        <v>25</v>
      </c>
      <c r="F161" s="241" t="s">
        <v>225</v>
      </c>
      <c r="G161" s="241" t="s">
        <v>226</v>
      </c>
      <c r="H161" s="241" t="s">
        <v>28</v>
      </c>
      <c r="I161" s="242" t="s">
        <v>227</v>
      </c>
      <c r="J161" s="243">
        <f>J162+J163+J180</f>
        <v>28049999.5</v>
      </c>
      <c r="K161" s="243">
        <f>K162+K163+K180</f>
        <v>79276545.299999997</v>
      </c>
      <c r="L161" s="243"/>
      <c r="M161" s="243"/>
      <c r="N161" s="244"/>
      <c r="O161" s="243"/>
      <c r="P161" s="243"/>
      <c r="Q161" s="243" t="e">
        <f>Q162+Q163+Q180</f>
        <v>#REF!</v>
      </c>
      <c r="R161" s="245" t="e">
        <f>R162+R163+R180</f>
        <v>#REF!</v>
      </c>
      <c r="S161" s="246" t="e">
        <f>S162+S163+S180</f>
        <v>#REF!</v>
      </c>
      <c r="T161" s="246" t="e">
        <f>T162+T163+T180</f>
        <v>#REF!</v>
      </c>
      <c r="U161" s="243">
        <f t="shared" ref="U161:Z161" si="48">U162+U163+U180+U181</f>
        <v>65397003</v>
      </c>
      <c r="V161" s="243">
        <f t="shared" si="48"/>
        <v>65397003</v>
      </c>
      <c r="W161" s="243">
        <f t="shared" si="48"/>
        <v>39638272.649999999</v>
      </c>
      <c r="X161" s="243">
        <f t="shared" si="48"/>
        <v>39638272.649999999</v>
      </c>
      <c r="Y161" s="243">
        <f t="shared" si="48"/>
        <v>39638272.649999999</v>
      </c>
      <c r="Z161" s="243">
        <f t="shared" si="48"/>
        <v>39638272.649999999</v>
      </c>
    </row>
    <row r="162" spans="1:87" ht="51.75" customHeight="1">
      <c r="A162" s="1129" t="s">
        <v>228</v>
      </c>
      <c r="B162" s="1132"/>
      <c r="C162" s="1133"/>
      <c r="D162" s="1133"/>
      <c r="E162" s="1133"/>
      <c r="F162" s="1133"/>
      <c r="G162" s="1133"/>
      <c r="H162" s="1134"/>
      <c r="I162" s="1141" t="s">
        <v>229</v>
      </c>
      <c r="J162" s="247">
        <v>2194279.16</v>
      </c>
      <c r="K162" s="247">
        <v>59000000</v>
      </c>
      <c r="L162" s="248" t="s">
        <v>230</v>
      </c>
      <c r="M162" s="249" t="s">
        <v>231</v>
      </c>
      <c r="N162" s="250"/>
      <c r="O162" s="251"/>
      <c r="P162" s="247"/>
      <c r="Q162" s="252">
        <v>20000000</v>
      </c>
      <c r="R162" s="253">
        <f t="shared" ref="R162:Z162" si="49">Q162</f>
        <v>20000000</v>
      </c>
      <c r="S162" s="254">
        <f t="shared" si="49"/>
        <v>20000000</v>
      </c>
      <c r="T162" s="254">
        <f t="shared" si="49"/>
        <v>20000000</v>
      </c>
      <c r="U162" s="255">
        <v>17000000</v>
      </c>
      <c r="V162" s="255">
        <f>U162</f>
        <v>17000000</v>
      </c>
      <c r="W162" s="255">
        <v>16939771.149999999</v>
      </c>
      <c r="X162" s="255">
        <f t="shared" si="49"/>
        <v>16939771.149999999</v>
      </c>
      <c r="Y162" s="255">
        <f t="shared" si="49"/>
        <v>16939771.149999999</v>
      </c>
      <c r="Z162" s="255">
        <f t="shared" si="49"/>
        <v>16939771.149999999</v>
      </c>
    </row>
    <row r="163" spans="1:87">
      <c r="A163" s="1130"/>
      <c r="B163" s="1135"/>
      <c r="C163" s="1136"/>
      <c r="D163" s="1136"/>
      <c r="E163" s="1136"/>
      <c r="F163" s="1136"/>
      <c r="G163" s="1136"/>
      <c r="H163" s="1137"/>
      <c r="I163" s="1141"/>
      <c r="J163" s="1105">
        <v>6454781.0300000003</v>
      </c>
      <c r="K163" s="1122">
        <v>11788770.300000001</v>
      </c>
      <c r="L163" s="1100" t="s">
        <v>232</v>
      </c>
      <c r="M163" s="256" t="s">
        <v>113</v>
      </c>
      <c r="N163" s="257"/>
      <c r="O163" s="258">
        <v>1877</v>
      </c>
      <c r="P163" s="259">
        <f>Q163/O163</f>
        <v>10538.991475759191</v>
      </c>
      <c r="Q163" s="260">
        <f t="shared" ref="Q163:Z163" si="50">SUM(Q164:Q179)</f>
        <v>19781687</v>
      </c>
      <c r="R163" s="261">
        <f t="shared" si="50"/>
        <v>19781687</v>
      </c>
      <c r="S163" s="261">
        <f t="shared" si="50"/>
        <v>19781687</v>
      </c>
      <c r="T163" s="261">
        <f t="shared" si="50"/>
        <v>19781687</v>
      </c>
      <c r="U163" s="255">
        <f>SUM(U164:U179)</f>
        <v>10946503</v>
      </c>
      <c r="V163" s="255">
        <f t="shared" si="50"/>
        <v>10946503</v>
      </c>
      <c r="W163" s="255">
        <f t="shared" si="50"/>
        <v>9890843.5</v>
      </c>
      <c r="X163" s="255">
        <f t="shared" si="50"/>
        <v>9890843.5</v>
      </c>
      <c r="Y163" s="255">
        <f t="shared" si="50"/>
        <v>9890843.5</v>
      </c>
      <c r="Z163" s="255">
        <f t="shared" si="50"/>
        <v>9890843.5</v>
      </c>
    </row>
    <row r="164" spans="1:87" ht="126.75" customHeight="1">
      <c r="A164" s="1130"/>
      <c r="B164" s="1135"/>
      <c r="C164" s="1136"/>
      <c r="D164" s="1136"/>
      <c r="E164" s="1136"/>
      <c r="F164" s="1136"/>
      <c r="G164" s="1136"/>
      <c r="H164" s="1137"/>
      <c r="I164" s="1141"/>
      <c r="J164" s="984"/>
      <c r="K164" s="990"/>
      <c r="L164" s="1100"/>
      <c r="M164" s="262" t="s">
        <v>233</v>
      </c>
      <c r="N164" s="263" t="s">
        <v>234</v>
      </c>
      <c r="O164" s="264">
        <v>19</v>
      </c>
      <c r="P164" s="264">
        <v>70740.149999999994</v>
      </c>
      <c r="Q164" s="264">
        <f>ROUND(O164*P164,0)</f>
        <v>1344063</v>
      </c>
      <c r="R164" s="265">
        <v>1344063</v>
      </c>
      <c r="S164" s="266">
        <v>1344063</v>
      </c>
      <c r="T164" s="266">
        <v>1344063</v>
      </c>
      <c r="U164" s="267">
        <v>68130.7</v>
      </c>
      <c r="V164" s="121">
        <f>U164</f>
        <v>68130.7</v>
      </c>
      <c r="W164" s="39">
        <v>672031.5</v>
      </c>
      <c r="X164" s="39">
        <v>672031.5</v>
      </c>
      <c r="Y164" s="39">
        <v>672031.5</v>
      </c>
      <c r="Z164" s="39">
        <v>672031.5</v>
      </c>
    </row>
    <row r="165" spans="1:87" ht="40.5">
      <c r="A165" s="1130"/>
      <c r="B165" s="1135"/>
      <c r="C165" s="1136"/>
      <c r="D165" s="1136"/>
      <c r="E165" s="1136"/>
      <c r="F165" s="1136"/>
      <c r="G165" s="1136"/>
      <c r="H165" s="1137"/>
      <c r="I165" s="1141"/>
      <c r="J165" s="984"/>
      <c r="K165" s="990"/>
      <c r="L165" s="1100"/>
      <c r="M165" s="262" t="s">
        <v>235</v>
      </c>
      <c r="N165" s="263" t="s">
        <v>50</v>
      </c>
      <c r="O165" s="264">
        <v>35</v>
      </c>
      <c r="P165" s="264">
        <v>6668.01</v>
      </c>
      <c r="Q165" s="264">
        <f t="shared" ref="Q165:Q179" si="51">ROUND(O165*P165,0)</f>
        <v>233380</v>
      </c>
      <c r="R165" s="265">
        <v>233380</v>
      </c>
      <c r="S165" s="266">
        <v>233380</v>
      </c>
      <c r="T165" s="266">
        <v>233380</v>
      </c>
      <c r="U165" s="267">
        <v>315358.25</v>
      </c>
      <c r="V165" s="121">
        <f t="shared" ref="V165:V178" si="52">U165</f>
        <v>315358.25</v>
      </c>
      <c r="W165" s="39">
        <v>116690</v>
      </c>
      <c r="X165" s="39">
        <v>116690</v>
      </c>
      <c r="Y165" s="39">
        <v>116690</v>
      </c>
      <c r="Z165" s="39">
        <v>116690</v>
      </c>
    </row>
    <row r="166" spans="1:87" ht="89.25" customHeight="1">
      <c r="A166" s="1130"/>
      <c r="B166" s="1135"/>
      <c r="C166" s="1136"/>
      <c r="D166" s="1136"/>
      <c r="E166" s="1136"/>
      <c r="F166" s="1136"/>
      <c r="G166" s="1136"/>
      <c r="H166" s="1137"/>
      <c r="I166" s="1141"/>
      <c r="J166" s="984"/>
      <c r="K166" s="990"/>
      <c r="L166" s="1100"/>
      <c r="M166" s="262" t="s">
        <v>236</v>
      </c>
      <c r="N166" s="263" t="s">
        <v>70</v>
      </c>
      <c r="O166" s="264">
        <v>127</v>
      </c>
      <c r="P166" s="264">
        <v>3640.4</v>
      </c>
      <c r="Q166" s="264">
        <f t="shared" si="51"/>
        <v>462331</v>
      </c>
      <c r="R166" s="265">
        <v>462331</v>
      </c>
      <c r="S166" s="266">
        <v>462331</v>
      </c>
      <c r="T166" s="266">
        <v>462331</v>
      </c>
      <c r="U166" s="267">
        <v>329767.45</v>
      </c>
      <c r="V166" s="121">
        <f t="shared" si="52"/>
        <v>329767.45</v>
      </c>
      <c r="W166" s="39">
        <v>231165.5</v>
      </c>
      <c r="X166" s="39">
        <v>231165.5</v>
      </c>
      <c r="Y166" s="39">
        <v>231165.5</v>
      </c>
      <c r="Z166" s="39">
        <v>231165.5</v>
      </c>
    </row>
    <row r="167" spans="1:87" ht="81">
      <c r="A167" s="1130"/>
      <c r="B167" s="1135"/>
      <c r="C167" s="1136"/>
      <c r="D167" s="1136"/>
      <c r="E167" s="1136"/>
      <c r="F167" s="1136"/>
      <c r="G167" s="1136"/>
      <c r="H167" s="1137"/>
      <c r="I167" s="1141"/>
      <c r="J167" s="984"/>
      <c r="K167" s="990"/>
      <c r="L167" s="1100"/>
      <c r="M167" s="262" t="s">
        <v>237</v>
      </c>
      <c r="N167" s="263" t="s">
        <v>70</v>
      </c>
      <c r="O167" s="264">
        <v>93</v>
      </c>
      <c r="P167" s="264">
        <v>6886.51</v>
      </c>
      <c r="Q167" s="264">
        <f t="shared" si="51"/>
        <v>640445</v>
      </c>
      <c r="R167" s="265">
        <v>640445</v>
      </c>
      <c r="S167" s="266">
        <v>640445</v>
      </c>
      <c r="T167" s="266">
        <v>640445</v>
      </c>
      <c r="U167" s="267">
        <v>251684.82</v>
      </c>
      <c r="V167" s="121">
        <f t="shared" si="52"/>
        <v>251684.82</v>
      </c>
      <c r="W167" s="39">
        <v>320222.5</v>
      </c>
      <c r="X167" s="39">
        <v>320222.5</v>
      </c>
      <c r="Y167" s="39">
        <v>320222.5</v>
      </c>
      <c r="Z167" s="39">
        <v>320222.5</v>
      </c>
    </row>
    <row r="168" spans="1:87" s="268" customFormat="1" ht="81">
      <c r="A168" s="1130"/>
      <c r="B168" s="1135"/>
      <c r="C168" s="1136"/>
      <c r="D168" s="1136"/>
      <c r="E168" s="1136"/>
      <c r="F168" s="1136"/>
      <c r="G168" s="1136"/>
      <c r="H168" s="1137"/>
      <c r="I168" s="1141"/>
      <c r="J168" s="984"/>
      <c r="K168" s="990"/>
      <c r="L168" s="1100"/>
      <c r="M168" s="262" t="s">
        <v>238</v>
      </c>
      <c r="N168" s="263" t="s">
        <v>50</v>
      </c>
      <c r="O168" s="264">
        <v>21</v>
      </c>
      <c r="P168" s="264">
        <v>32907.019999999997</v>
      </c>
      <c r="Q168" s="264">
        <f t="shared" si="51"/>
        <v>691047</v>
      </c>
      <c r="R168" s="265">
        <v>691047</v>
      </c>
      <c r="S168" s="266">
        <v>691047</v>
      </c>
      <c r="T168" s="266">
        <v>691047</v>
      </c>
      <c r="U168" s="267">
        <v>486737.1</v>
      </c>
      <c r="V168" s="121">
        <f t="shared" si="52"/>
        <v>486737.1</v>
      </c>
      <c r="W168" s="39">
        <v>345523.5</v>
      </c>
      <c r="X168" s="39">
        <v>345523.5</v>
      </c>
      <c r="Y168" s="39">
        <v>345523.5</v>
      </c>
      <c r="Z168" s="39">
        <v>345523.5</v>
      </c>
      <c r="AA168" s="904"/>
      <c r="AB168" s="904"/>
      <c r="AC168" s="904"/>
      <c r="AD168" s="904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</row>
    <row r="169" spans="1:87" s="268" customFormat="1" ht="66" customHeight="1">
      <c r="A169" s="1130"/>
      <c r="B169" s="1135"/>
      <c r="C169" s="1136"/>
      <c r="D169" s="1136"/>
      <c r="E169" s="1136"/>
      <c r="F169" s="1136"/>
      <c r="G169" s="1136"/>
      <c r="H169" s="1137"/>
      <c r="I169" s="982"/>
      <c r="J169" s="984"/>
      <c r="K169" s="990"/>
      <c r="L169" s="990"/>
      <c r="M169" s="262" t="s">
        <v>239</v>
      </c>
      <c r="N169" s="263" t="s">
        <v>50</v>
      </c>
      <c r="O169" s="264">
        <v>20</v>
      </c>
      <c r="P169" s="264">
        <v>15654</v>
      </c>
      <c r="Q169" s="264">
        <f t="shared" si="51"/>
        <v>313080</v>
      </c>
      <c r="R169" s="265">
        <v>313080</v>
      </c>
      <c r="S169" s="266">
        <v>313080</v>
      </c>
      <c r="T169" s="266">
        <v>313080</v>
      </c>
      <c r="U169" s="267">
        <v>33000</v>
      </c>
      <c r="V169" s="121">
        <f t="shared" si="52"/>
        <v>33000</v>
      </c>
      <c r="W169" s="39">
        <v>156540</v>
      </c>
      <c r="X169" s="39">
        <v>156540</v>
      </c>
      <c r="Y169" s="39">
        <v>156540</v>
      </c>
      <c r="Z169" s="39">
        <v>156540</v>
      </c>
      <c r="AA169" s="904"/>
      <c r="AB169" s="904"/>
      <c r="AC169" s="904"/>
      <c r="AD169" s="904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</row>
    <row r="170" spans="1:87" s="268" customFormat="1" ht="40.5">
      <c r="A170" s="1130"/>
      <c r="B170" s="1135"/>
      <c r="C170" s="1136"/>
      <c r="D170" s="1136"/>
      <c r="E170" s="1136"/>
      <c r="F170" s="1136"/>
      <c r="G170" s="1136"/>
      <c r="H170" s="1137"/>
      <c r="I170" s="982"/>
      <c r="J170" s="984"/>
      <c r="K170" s="990"/>
      <c r="L170" s="990"/>
      <c r="M170" s="262" t="s">
        <v>240</v>
      </c>
      <c r="N170" s="263" t="s">
        <v>50</v>
      </c>
      <c r="O170" s="264">
        <v>15</v>
      </c>
      <c r="P170" s="264">
        <v>14918.96</v>
      </c>
      <c r="Q170" s="264">
        <f t="shared" si="51"/>
        <v>223784</v>
      </c>
      <c r="R170" s="265">
        <v>223784</v>
      </c>
      <c r="S170" s="266">
        <v>223784</v>
      </c>
      <c r="T170" s="266">
        <v>223784</v>
      </c>
      <c r="U170" s="267">
        <v>233380</v>
      </c>
      <c r="V170" s="121">
        <f t="shared" si="52"/>
        <v>233380</v>
      </c>
      <c r="W170" s="39">
        <v>111892</v>
      </c>
      <c r="X170" s="39">
        <v>111892</v>
      </c>
      <c r="Y170" s="39">
        <v>111892</v>
      </c>
      <c r="Z170" s="39">
        <v>111892</v>
      </c>
      <c r="AA170" s="904"/>
      <c r="AB170" s="904"/>
      <c r="AC170" s="904"/>
      <c r="AD170" s="904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</row>
    <row r="171" spans="1:87" s="268" customFormat="1" ht="40.5">
      <c r="A171" s="1130"/>
      <c r="B171" s="1135"/>
      <c r="C171" s="1136"/>
      <c r="D171" s="1136"/>
      <c r="E171" s="1136"/>
      <c r="F171" s="1136"/>
      <c r="G171" s="1136"/>
      <c r="H171" s="1137"/>
      <c r="I171" s="982"/>
      <c r="J171" s="984"/>
      <c r="K171" s="990"/>
      <c r="L171" s="990"/>
      <c r="M171" s="262" t="s">
        <v>241</v>
      </c>
      <c r="N171" s="263" t="s">
        <v>50</v>
      </c>
      <c r="O171" s="264">
        <v>245</v>
      </c>
      <c r="P171" s="264">
        <v>2077.9</v>
      </c>
      <c r="Q171" s="264">
        <f t="shared" si="51"/>
        <v>509086</v>
      </c>
      <c r="R171" s="265">
        <v>509086</v>
      </c>
      <c r="S171" s="266">
        <v>509086</v>
      </c>
      <c r="T171" s="266">
        <v>509086</v>
      </c>
      <c r="U171" s="267">
        <v>91441.14</v>
      </c>
      <c r="V171" s="121">
        <f t="shared" si="52"/>
        <v>91441.14</v>
      </c>
      <c r="W171" s="39">
        <v>254543</v>
      </c>
      <c r="X171" s="39">
        <v>254543</v>
      </c>
      <c r="Y171" s="39">
        <v>254543</v>
      </c>
      <c r="Z171" s="39">
        <v>254543</v>
      </c>
      <c r="AA171" s="904"/>
      <c r="AB171" s="904"/>
      <c r="AC171" s="904"/>
      <c r="AD171" s="904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</row>
    <row r="172" spans="1:87" s="268" customFormat="1" ht="40.5">
      <c r="A172" s="1130"/>
      <c r="B172" s="1135"/>
      <c r="C172" s="1136"/>
      <c r="D172" s="1136"/>
      <c r="E172" s="1136"/>
      <c r="F172" s="1136"/>
      <c r="G172" s="1136"/>
      <c r="H172" s="1137"/>
      <c r="I172" s="982"/>
      <c r="J172" s="984"/>
      <c r="K172" s="990"/>
      <c r="L172" s="990"/>
      <c r="M172" s="262" t="s">
        <v>242</v>
      </c>
      <c r="N172" s="263" t="s">
        <v>50</v>
      </c>
      <c r="O172" s="264">
        <v>50</v>
      </c>
      <c r="P172" s="264">
        <v>15667</v>
      </c>
      <c r="Q172" s="264">
        <f t="shared" si="51"/>
        <v>783350</v>
      </c>
      <c r="R172" s="265">
        <v>783350</v>
      </c>
      <c r="S172" s="266">
        <v>783350</v>
      </c>
      <c r="T172" s="266">
        <v>783350</v>
      </c>
      <c r="U172" s="267">
        <v>41950</v>
      </c>
      <c r="V172" s="121">
        <v>41950</v>
      </c>
      <c r="W172" s="39">
        <v>391675</v>
      </c>
      <c r="X172" s="39">
        <v>391675</v>
      </c>
      <c r="Y172" s="39">
        <v>391675</v>
      </c>
      <c r="Z172" s="39">
        <v>391675</v>
      </c>
      <c r="AA172" s="904"/>
      <c r="AB172" s="904"/>
      <c r="AC172" s="904"/>
      <c r="AD172" s="904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</row>
    <row r="173" spans="1:87" s="268" customFormat="1" ht="101.25">
      <c r="A173" s="1130"/>
      <c r="B173" s="1135"/>
      <c r="C173" s="1136"/>
      <c r="D173" s="1136"/>
      <c r="E173" s="1136"/>
      <c r="F173" s="1136"/>
      <c r="G173" s="1136"/>
      <c r="H173" s="1137"/>
      <c r="I173" s="982"/>
      <c r="J173" s="984"/>
      <c r="K173" s="990"/>
      <c r="L173" s="990"/>
      <c r="M173" s="262" t="s">
        <v>243</v>
      </c>
      <c r="N173" s="263" t="s">
        <v>70</v>
      </c>
      <c r="O173" s="264">
        <v>48</v>
      </c>
      <c r="P173" s="264">
        <v>9153</v>
      </c>
      <c r="Q173" s="264">
        <f t="shared" si="51"/>
        <v>439344</v>
      </c>
      <c r="R173" s="265">
        <v>439344</v>
      </c>
      <c r="S173" s="266">
        <v>439344</v>
      </c>
      <c r="T173" s="266">
        <v>439344</v>
      </c>
      <c r="U173" s="267">
        <v>22000</v>
      </c>
      <c r="V173" s="121">
        <f t="shared" si="52"/>
        <v>22000</v>
      </c>
      <c r="W173" s="39">
        <v>219672</v>
      </c>
      <c r="X173" s="39">
        <v>219672</v>
      </c>
      <c r="Y173" s="39">
        <v>219672</v>
      </c>
      <c r="Z173" s="39">
        <v>219672</v>
      </c>
      <c r="AA173" s="904"/>
      <c r="AB173" s="904"/>
      <c r="AC173" s="904"/>
      <c r="AD173" s="904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</row>
    <row r="174" spans="1:87" s="268" customFormat="1" ht="40.5">
      <c r="A174" s="1130"/>
      <c r="B174" s="1135"/>
      <c r="C174" s="1136"/>
      <c r="D174" s="1136"/>
      <c r="E174" s="1136"/>
      <c r="F174" s="1136"/>
      <c r="G174" s="1136"/>
      <c r="H174" s="1137"/>
      <c r="I174" s="982"/>
      <c r="J174" s="984"/>
      <c r="K174" s="990"/>
      <c r="L174" s="990"/>
      <c r="M174" s="262" t="s">
        <v>241</v>
      </c>
      <c r="N174" s="263" t="s">
        <v>70</v>
      </c>
      <c r="O174" s="264">
        <v>78</v>
      </c>
      <c r="P174" s="264">
        <v>15324.5</v>
      </c>
      <c r="Q174" s="264">
        <f t="shared" si="51"/>
        <v>1195311</v>
      </c>
      <c r="R174" s="265">
        <v>1195311</v>
      </c>
      <c r="S174" s="266">
        <v>1195311</v>
      </c>
      <c r="T174" s="266">
        <v>1195311</v>
      </c>
      <c r="U174" s="267">
        <v>263779</v>
      </c>
      <c r="V174" s="121">
        <f t="shared" si="52"/>
        <v>263779</v>
      </c>
      <c r="W174" s="39">
        <v>597655.5</v>
      </c>
      <c r="X174" s="39">
        <v>597655.5</v>
      </c>
      <c r="Y174" s="39">
        <v>597655.5</v>
      </c>
      <c r="Z174" s="39">
        <v>597655.5</v>
      </c>
      <c r="AA174" s="904"/>
      <c r="AB174" s="904"/>
      <c r="AC174" s="904"/>
      <c r="AD174" s="904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</row>
    <row r="175" spans="1:87" s="268" customFormat="1" ht="81">
      <c r="A175" s="1130"/>
      <c r="B175" s="1135"/>
      <c r="C175" s="1136"/>
      <c r="D175" s="1136"/>
      <c r="E175" s="1136"/>
      <c r="F175" s="1136"/>
      <c r="G175" s="1136"/>
      <c r="H175" s="1137"/>
      <c r="I175" s="982"/>
      <c r="J175" s="984"/>
      <c r="K175" s="990"/>
      <c r="L175" s="990"/>
      <c r="M175" s="262" t="s">
        <v>237</v>
      </c>
      <c r="N175" s="263" t="s">
        <v>70</v>
      </c>
      <c r="O175" s="264">
        <v>60</v>
      </c>
      <c r="P175" s="264">
        <v>22262.13</v>
      </c>
      <c r="Q175" s="264">
        <f t="shared" si="51"/>
        <v>1335728</v>
      </c>
      <c r="R175" s="265">
        <v>1335728</v>
      </c>
      <c r="S175" s="266">
        <v>1335728</v>
      </c>
      <c r="T175" s="266">
        <v>1335728</v>
      </c>
      <c r="U175" s="267">
        <v>655622.5</v>
      </c>
      <c r="V175" s="121">
        <f t="shared" si="52"/>
        <v>655622.5</v>
      </c>
      <c r="W175" s="39">
        <v>667864</v>
      </c>
      <c r="X175" s="39">
        <v>667864</v>
      </c>
      <c r="Y175" s="39">
        <v>667864</v>
      </c>
      <c r="Z175" s="39">
        <v>667864</v>
      </c>
      <c r="AA175" s="904"/>
      <c r="AB175" s="904"/>
      <c r="AC175" s="904"/>
      <c r="AD175" s="904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</row>
    <row r="176" spans="1:87" s="268" customFormat="1" ht="81">
      <c r="A176" s="1130"/>
      <c r="B176" s="1135"/>
      <c r="C176" s="1136"/>
      <c r="D176" s="1136"/>
      <c r="E176" s="1136"/>
      <c r="F176" s="1136"/>
      <c r="G176" s="1136"/>
      <c r="H176" s="1137"/>
      <c r="I176" s="982"/>
      <c r="J176" s="984"/>
      <c r="K176" s="990"/>
      <c r="L176" s="990"/>
      <c r="M176" s="262" t="s">
        <v>244</v>
      </c>
      <c r="N176" s="263" t="s">
        <v>234</v>
      </c>
      <c r="O176" s="264">
        <v>145</v>
      </c>
      <c r="P176" s="264">
        <v>3278.99</v>
      </c>
      <c r="Q176" s="264">
        <f t="shared" si="51"/>
        <v>475454</v>
      </c>
      <c r="R176" s="265">
        <v>475454</v>
      </c>
      <c r="S176" s="266">
        <v>475454</v>
      </c>
      <c r="T176" s="266">
        <v>475454</v>
      </c>
      <c r="U176" s="267">
        <v>0</v>
      </c>
      <c r="V176" s="121">
        <f t="shared" si="52"/>
        <v>0</v>
      </c>
      <c r="W176" s="39">
        <v>237727</v>
      </c>
      <c r="X176" s="39">
        <v>237727</v>
      </c>
      <c r="Y176" s="39">
        <v>237727</v>
      </c>
      <c r="Z176" s="39">
        <v>237727</v>
      </c>
      <c r="AA176" s="904"/>
      <c r="AB176" s="904"/>
      <c r="AC176" s="904"/>
      <c r="AD176" s="904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</row>
    <row r="177" spans="1:87" s="268" customFormat="1" ht="69" customHeight="1">
      <c r="A177" s="1130"/>
      <c r="B177" s="1135"/>
      <c r="C177" s="1136"/>
      <c r="D177" s="1136"/>
      <c r="E177" s="1136"/>
      <c r="F177" s="1136"/>
      <c r="G177" s="1136"/>
      <c r="H177" s="1137"/>
      <c r="I177" s="982"/>
      <c r="J177" s="984"/>
      <c r="K177" s="990"/>
      <c r="L177" s="990"/>
      <c r="M177" s="262" t="s">
        <v>245</v>
      </c>
      <c r="N177" s="263" t="s">
        <v>70</v>
      </c>
      <c r="O177" s="264">
        <v>30</v>
      </c>
      <c r="P177" s="264">
        <v>14829.17</v>
      </c>
      <c r="Q177" s="264">
        <f t="shared" si="51"/>
        <v>444875</v>
      </c>
      <c r="R177" s="265">
        <v>444875</v>
      </c>
      <c r="S177" s="266">
        <v>444875</v>
      </c>
      <c r="T177" s="266">
        <v>444875</v>
      </c>
      <c r="U177" s="267">
        <v>570626</v>
      </c>
      <c r="V177" s="121">
        <f t="shared" si="52"/>
        <v>570626</v>
      </c>
      <c r="W177" s="39">
        <v>222437.5</v>
      </c>
      <c r="X177" s="39">
        <v>222437.5</v>
      </c>
      <c r="Y177" s="39">
        <v>222437.5</v>
      </c>
      <c r="Z177" s="39">
        <v>222437.5</v>
      </c>
      <c r="AA177" s="904"/>
      <c r="AB177" s="904"/>
      <c r="AC177" s="904"/>
      <c r="AD177" s="904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</row>
    <row r="178" spans="1:87" s="268" customFormat="1" ht="45.75" customHeight="1">
      <c r="A178" s="1130"/>
      <c r="B178" s="1135"/>
      <c r="C178" s="1136"/>
      <c r="D178" s="1136"/>
      <c r="E178" s="1136"/>
      <c r="F178" s="1136"/>
      <c r="G178" s="1136"/>
      <c r="H178" s="1137"/>
      <c r="I178" s="982"/>
      <c r="J178" s="984"/>
      <c r="K178" s="990"/>
      <c r="L178" s="990"/>
      <c r="M178" s="1123" t="s">
        <v>246</v>
      </c>
      <c r="N178" s="1125" t="s">
        <v>70</v>
      </c>
      <c r="O178" s="269">
        <v>11</v>
      </c>
      <c r="P178" s="269">
        <v>62764.42</v>
      </c>
      <c r="Q178" s="269">
        <f t="shared" si="51"/>
        <v>690409</v>
      </c>
      <c r="R178" s="270">
        <v>690409</v>
      </c>
      <c r="S178" s="271">
        <v>690409</v>
      </c>
      <c r="T178" s="271">
        <v>690409</v>
      </c>
      <c r="U178" s="1127">
        <v>7583026.04</v>
      </c>
      <c r="V178" s="1127">
        <f t="shared" si="52"/>
        <v>7583026.04</v>
      </c>
      <c r="W178" s="953">
        <v>5345204.5</v>
      </c>
      <c r="X178" s="953">
        <v>5345204.5</v>
      </c>
      <c r="Y178" s="953">
        <v>5345204.5</v>
      </c>
      <c r="Z178" s="953">
        <v>5345204.5</v>
      </c>
      <c r="AA178" s="904"/>
      <c r="AB178" s="904"/>
      <c r="AC178" s="904"/>
      <c r="AD178" s="904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</row>
    <row r="179" spans="1:87" s="268" customFormat="1" ht="76.5" customHeight="1">
      <c r="A179" s="1130"/>
      <c r="B179" s="1135"/>
      <c r="C179" s="1136"/>
      <c r="D179" s="1136"/>
      <c r="E179" s="1136"/>
      <c r="F179" s="1136"/>
      <c r="G179" s="1136"/>
      <c r="H179" s="1137"/>
      <c r="I179" s="982"/>
      <c r="J179" s="984"/>
      <c r="K179" s="990"/>
      <c r="L179" s="990"/>
      <c r="M179" s="1124"/>
      <c r="N179" s="1126"/>
      <c r="O179" s="269">
        <v>20</v>
      </c>
      <c r="P179" s="269">
        <v>500000</v>
      </c>
      <c r="Q179" s="269">
        <f t="shared" si="51"/>
        <v>10000000</v>
      </c>
      <c r="R179" s="270">
        <v>10000000</v>
      </c>
      <c r="S179" s="271">
        <v>10000000</v>
      </c>
      <c r="T179" s="271">
        <v>10000000</v>
      </c>
      <c r="U179" s="1128"/>
      <c r="V179" s="1128"/>
      <c r="W179" s="954"/>
      <c r="X179" s="954"/>
      <c r="Y179" s="954"/>
      <c r="Z179" s="954"/>
      <c r="AA179" s="904"/>
      <c r="AB179" s="904"/>
      <c r="AC179" s="904"/>
      <c r="AD179" s="904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</row>
    <row r="180" spans="1:87" s="268" customFormat="1" ht="69" customHeight="1">
      <c r="A180" s="1130"/>
      <c r="B180" s="1135"/>
      <c r="C180" s="1136"/>
      <c r="D180" s="1136"/>
      <c r="E180" s="1136"/>
      <c r="F180" s="1136"/>
      <c r="G180" s="1136"/>
      <c r="H180" s="1137"/>
      <c r="I180" s="1118" t="s">
        <v>247</v>
      </c>
      <c r="J180" s="272">
        <v>19400939.309999999</v>
      </c>
      <c r="K180" s="272">
        <v>8487775</v>
      </c>
      <c r="L180" s="248" t="s">
        <v>32</v>
      </c>
      <c r="M180" s="273" t="s">
        <v>42</v>
      </c>
      <c r="N180" s="263"/>
      <c r="O180" s="274" t="e">
        <f>#REF!+#REF!+#REF!</f>
        <v>#REF!</v>
      </c>
      <c r="P180" s="275"/>
      <c r="Q180" s="276" t="e">
        <f>#REF!+#REF!+#REF!</f>
        <v>#REF!</v>
      </c>
      <c r="R180" s="277" t="e">
        <f>#REF!+#REF!+#REF!</f>
        <v>#REF!</v>
      </c>
      <c r="S180" s="277" t="e">
        <f>#REF!+#REF!+#REF!</f>
        <v>#REF!</v>
      </c>
      <c r="T180" s="277" t="e">
        <f>#REF!+#REF!+#REF!</f>
        <v>#REF!</v>
      </c>
      <c r="U180" s="278">
        <v>35525500</v>
      </c>
      <c r="V180" s="278">
        <f>U180</f>
        <v>35525500</v>
      </c>
      <c r="W180" s="255">
        <v>9722500</v>
      </c>
      <c r="X180" s="255">
        <v>9722500</v>
      </c>
      <c r="Y180" s="255">
        <v>9722500</v>
      </c>
      <c r="Z180" s="255">
        <v>9722500</v>
      </c>
      <c r="AA180" s="904"/>
      <c r="AB180" s="904"/>
      <c r="AC180" s="904"/>
      <c r="AD180" s="904"/>
      <c r="AE180" s="7">
        <v>9722500</v>
      </c>
      <c r="AF180" s="7">
        <v>9722500</v>
      </c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</row>
    <row r="181" spans="1:87" s="268" customFormat="1" ht="66.75" customHeight="1">
      <c r="A181" s="1131"/>
      <c r="B181" s="1138"/>
      <c r="C181" s="1139"/>
      <c r="D181" s="1139"/>
      <c r="E181" s="1139"/>
      <c r="F181" s="1139"/>
      <c r="G181" s="1139"/>
      <c r="H181" s="1140"/>
      <c r="I181" s="1119"/>
      <c r="J181" s="272"/>
      <c r="K181" s="272"/>
      <c r="L181" s="248"/>
      <c r="M181" s="273" t="s">
        <v>248</v>
      </c>
      <c r="N181" s="263"/>
      <c r="O181" s="274"/>
      <c r="P181" s="275"/>
      <c r="Q181" s="276"/>
      <c r="R181" s="277"/>
      <c r="S181" s="277"/>
      <c r="T181" s="277"/>
      <c r="U181" s="278">
        <v>1925000</v>
      </c>
      <c r="V181" s="278">
        <f>U181</f>
        <v>1925000</v>
      </c>
      <c r="W181" s="255">
        <v>3085158</v>
      </c>
      <c r="X181" s="255">
        <v>3085158</v>
      </c>
      <c r="Y181" s="255">
        <v>3085158</v>
      </c>
      <c r="Z181" s="255">
        <v>3085158</v>
      </c>
      <c r="AA181" s="904"/>
      <c r="AB181" s="904"/>
      <c r="AC181" s="904"/>
      <c r="AD181" s="904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</row>
    <row r="182" spans="1:87" s="268" customFormat="1" ht="315" customHeight="1">
      <c r="A182" s="240" t="s">
        <v>249</v>
      </c>
      <c r="B182" s="241" t="s">
        <v>22</v>
      </c>
      <c r="C182" s="241" t="s">
        <v>23</v>
      </c>
      <c r="D182" s="241" t="s">
        <v>250</v>
      </c>
      <c r="E182" s="241" t="s">
        <v>25</v>
      </c>
      <c r="F182" s="241" t="s">
        <v>251</v>
      </c>
      <c r="G182" s="241" t="s">
        <v>252</v>
      </c>
      <c r="H182" s="241" t="s">
        <v>28</v>
      </c>
      <c r="I182" s="242" t="s">
        <v>253</v>
      </c>
      <c r="J182" s="279" t="e">
        <f>J183+J190+J222+J230+J272</f>
        <v>#REF!</v>
      </c>
      <c r="K182" s="279" t="e">
        <f>K183+K190+K222+K230+K272</f>
        <v>#REF!</v>
      </c>
      <c r="L182" s="279"/>
      <c r="M182" s="279"/>
      <c r="N182" s="280"/>
      <c r="O182" s="279"/>
      <c r="P182" s="279"/>
      <c r="Q182" s="279" t="e">
        <f t="shared" ref="Q182:Z182" si="53">Q183+Q190+Q222+Q230+Q272</f>
        <v>#REF!</v>
      </c>
      <c r="R182" s="281" t="e">
        <f t="shared" si="53"/>
        <v>#REF!</v>
      </c>
      <c r="S182" s="281" t="e">
        <f t="shared" si="53"/>
        <v>#REF!</v>
      </c>
      <c r="T182" s="281" t="e">
        <f t="shared" si="53"/>
        <v>#REF!</v>
      </c>
      <c r="U182" s="282">
        <f t="shared" si="53"/>
        <v>15975000</v>
      </c>
      <c r="V182" s="282">
        <f t="shared" si="53"/>
        <v>15975000</v>
      </c>
      <c r="W182" s="282">
        <f t="shared" si="53"/>
        <v>7987500</v>
      </c>
      <c r="X182" s="282">
        <f t="shared" si="53"/>
        <v>7987500</v>
      </c>
      <c r="Y182" s="282">
        <f t="shared" si="53"/>
        <v>7987500</v>
      </c>
      <c r="Z182" s="282">
        <f t="shared" si="53"/>
        <v>7987500</v>
      </c>
      <c r="AA182" s="904"/>
      <c r="AB182" s="904"/>
      <c r="AC182" s="904"/>
      <c r="AD182" s="904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</row>
    <row r="183" spans="1:87" s="268" customFormat="1">
      <c r="A183" s="1098" t="s">
        <v>137</v>
      </c>
      <c r="B183" s="1120"/>
      <c r="C183" s="986"/>
      <c r="D183" s="986"/>
      <c r="E183" s="986"/>
      <c r="F183" s="986"/>
      <c r="G183" s="986"/>
      <c r="H183" s="986"/>
      <c r="I183" s="1107" t="s">
        <v>254</v>
      </c>
      <c r="J183" s="1121">
        <v>60000</v>
      </c>
      <c r="K183" s="1122">
        <v>100020</v>
      </c>
      <c r="L183" s="1100" t="s">
        <v>186</v>
      </c>
      <c r="M183" s="283"/>
      <c r="N183" s="284"/>
      <c r="O183" s="285">
        <f t="shared" ref="O183:Z183" si="54">O189+O188+O187+O186+O185+O184</f>
        <v>6632</v>
      </c>
      <c r="P183" s="285">
        <f t="shared" si="54"/>
        <v>39706.67</v>
      </c>
      <c r="Q183" s="285">
        <f t="shared" si="54"/>
        <v>256822</v>
      </c>
      <c r="R183" s="286">
        <f>R189+R188+R187+R186+R185+R184</f>
        <v>256822</v>
      </c>
      <c r="S183" s="286">
        <f t="shared" si="54"/>
        <v>256822</v>
      </c>
      <c r="T183" s="286">
        <f t="shared" si="54"/>
        <v>256822</v>
      </c>
      <c r="U183" s="287">
        <f t="shared" si="54"/>
        <v>100020</v>
      </c>
      <c r="V183" s="287">
        <f t="shared" si="54"/>
        <v>100020</v>
      </c>
      <c r="W183" s="287">
        <f t="shared" si="54"/>
        <v>50010</v>
      </c>
      <c r="X183" s="287">
        <f t="shared" si="54"/>
        <v>50010</v>
      </c>
      <c r="Y183" s="287">
        <f t="shared" si="54"/>
        <v>50010</v>
      </c>
      <c r="Z183" s="287">
        <f t="shared" si="54"/>
        <v>50010</v>
      </c>
      <c r="AA183" s="904"/>
      <c r="AB183" s="904"/>
      <c r="AC183" s="904"/>
      <c r="AD183" s="904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</row>
    <row r="184" spans="1:87" s="268" customFormat="1" ht="33" customHeight="1">
      <c r="A184" s="984"/>
      <c r="B184" s="986"/>
      <c r="C184" s="986"/>
      <c r="D184" s="986"/>
      <c r="E184" s="986"/>
      <c r="F184" s="986"/>
      <c r="G184" s="986"/>
      <c r="H184" s="986"/>
      <c r="I184" s="986"/>
      <c r="J184" s="986"/>
      <c r="K184" s="946"/>
      <c r="L184" s="946"/>
      <c r="M184" s="288" t="s">
        <v>140</v>
      </c>
      <c r="N184" s="289" t="s">
        <v>255</v>
      </c>
      <c r="O184" s="285">
        <v>6600</v>
      </c>
      <c r="P184" s="290">
        <v>6.67</v>
      </c>
      <c r="Q184" s="285">
        <v>44022</v>
      </c>
      <c r="R184" s="286">
        <v>44022</v>
      </c>
      <c r="S184" s="286">
        <v>44022</v>
      </c>
      <c r="T184" s="286">
        <v>44022</v>
      </c>
      <c r="U184" s="40">
        <v>19620</v>
      </c>
      <c r="V184" s="40">
        <f t="shared" ref="V184:V189" si="55">U184</f>
        <v>19620</v>
      </c>
      <c r="W184" s="40">
        <f t="shared" ref="W184:W189" si="56">U184/2</f>
        <v>9810</v>
      </c>
      <c r="X184" s="40">
        <f t="shared" ref="X184:X189" si="57">W184</f>
        <v>9810</v>
      </c>
      <c r="Y184" s="40">
        <f t="shared" ref="Y184:Y189" si="58">U184/2</f>
        <v>9810</v>
      </c>
      <c r="Z184" s="40">
        <f t="shared" ref="Z184:Z189" si="59">Y184</f>
        <v>9810</v>
      </c>
      <c r="AA184" s="904"/>
      <c r="AB184" s="904"/>
      <c r="AC184" s="904"/>
      <c r="AD184" s="904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</row>
    <row r="185" spans="1:87" s="268" customFormat="1" ht="40.5">
      <c r="A185" s="984"/>
      <c r="B185" s="986"/>
      <c r="C185" s="986"/>
      <c r="D185" s="986"/>
      <c r="E185" s="986"/>
      <c r="F185" s="986"/>
      <c r="G185" s="986"/>
      <c r="H185" s="986"/>
      <c r="I185" s="986"/>
      <c r="J185" s="986"/>
      <c r="K185" s="946"/>
      <c r="L185" s="946"/>
      <c r="M185" s="288" t="s">
        <v>256</v>
      </c>
      <c r="N185" s="289" t="s">
        <v>70</v>
      </c>
      <c r="O185" s="291">
        <v>7</v>
      </c>
      <c r="P185" s="292">
        <v>8800</v>
      </c>
      <c r="Q185" s="293">
        <v>61600</v>
      </c>
      <c r="R185" s="294">
        <v>61600</v>
      </c>
      <c r="S185" s="295">
        <v>61600</v>
      </c>
      <c r="T185" s="295">
        <v>61600</v>
      </c>
      <c r="U185" s="40">
        <v>26400</v>
      </c>
      <c r="V185" s="40">
        <f t="shared" si="55"/>
        <v>26400</v>
      </c>
      <c r="W185" s="40">
        <f t="shared" si="56"/>
        <v>13200</v>
      </c>
      <c r="X185" s="40">
        <f t="shared" si="57"/>
        <v>13200</v>
      </c>
      <c r="Y185" s="40">
        <f t="shared" si="58"/>
        <v>13200</v>
      </c>
      <c r="Z185" s="40">
        <f t="shared" si="59"/>
        <v>13200</v>
      </c>
      <c r="AA185" s="904"/>
      <c r="AB185" s="904"/>
      <c r="AC185" s="904"/>
      <c r="AD185" s="904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</row>
    <row r="186" spans="1:87" s="268" customFormat="1" ht="81">
      <c r="A186" s="984"/>
      <c r="B186" s="986"/>
      <c r="C186" s="986"/>
      <c r="D186" s="986"/>
      <c r="E186" s="986"/>
      <c r="F186" s="986"/>
      <c r="G186" s="986"/>
      <c r="H186" s="986"/>
      <c r="I186" s="986"/>
      <c r="J186" s="986"/>
      <c r="K186" s="946"/>
      <c r="L186" s="946"/>
      <c r="M186" s="288" t="s">
        <v>257</v>
      </c>
      <c r="N186" s="289" t="s">
        <v>258</v>
      </c>
      <c r="O186" s="291">
        <v>8</v>
      </c>
      <c r="P186" s="292">
        <v>4900</v>
      </c>
      <c r="Q186" s="293">
        <v>39200</v>
      </c>
      <c r="R186" s="294">
        <v>39200</v>
      </c>
      <c r="S186" s="295">
        <v>39200</v>
      </c>
      <c r="T186" s="295">
        <v>39200</v>
      </c>
      <c r="U186" s="40">
        <v>18000</v>
      </c>
      <c r="V186" s="40">
        <f t="shared" si="55"/>
        <v>18000</v>
      </c>
      <c r="W186" s="40">
        <f t="shared" si="56"/>
        <v>9000</v>
      </c>
      <c r="X186" s="40">
        <f t="shared" si="57"/>
        <v>9000</v>
      </c>
      <c r="Y186" s="40">
        <f t="shared" si="58"/>
        <v>9000</v>
      </c>
      <c r="Z186" s="40">
        <f t="shared" si="59"/>
        <v>9000</v>
      </c>
      <c r="AA186" s="904"/>
      <c r="AB186" s="904"/>
      <c r="AC186" s="904"/>
      <c r="AD186" s="904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</row>
    <row r="187" spans="1:87" s="268" customFormat="1" ht="54.75" customHeight="1">
      <c r="A187" s="984"/>
      <c r="B187" s="986"/>
      <c r="C187" s="986"/>
      <c r="D187" s="986"/>
      <c r="E187" s="986"/>
      <c r="F187" s="986"/>
      <c r="G187" s="986"/>
      <c r="H187" s="986"/>
      <c r="I187" s="986"/>
      <c r="J187" s="986"/>
      <c r="K187" s="946"/>
      <c r="L187" s="946"/>
      <c r="M187" s="288" t="s">
        <v>143</v>
      </c>
      <c r="N187" s="289" t="s">
        <v>258</v>
      </c>
      <c r="O187" s="291">
        <v>2</v>
      </c>
      <c r="P187" s="292">
        <v>15000</v>
      </c>
      <c r="Q187" s="293">
        <v>30000</v>
      </c>
      <c r="R187" s="294">
        <v>30000</v>
      </c>
      <c r="S187" s="295">
        <v>30000</v>
      </c>
      <c r="T187" s="295">
        <v>30000</v>
      </c>
      <c r="U187" s="40">
        <v>15000</v>
      </c>
      <c r="V187" s="40">
        <f t="shared" si="55"/>
        <v>15000</v>
      </c>
      <c r="W187" s="40">
        <f t="shared" si="56"/>
        <v>7500</v>
      </c>
      <c r="X187" s="40">
        <f t="shared" si="57"/>
        <v>7500</v>
      </c>
      <c r="Y187" s="40">
        <f t="shared" si="58"/>
        <v>7500</v>
      </c>
      <c r="Z187" s="40">
        <f t="shared" si="59"/>
        <v>7500</v>
      </c>
      <c r="AA187" s="904"/>
      <c r="AB187" s="904"/>
      <c r="AC187" s="904"/>
      <c r="AD187" s="904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</row>
    <row r="188" spans="1:87" s="268" customFormat="1" ht="60.75">
      <c r="A188" s="984"/>
      <c r="B188" s="986"/>
      <c r="C188" s="986"/>
      <c r="D188" s="986"/>
      <c r="E188" s="986"/>
      <c r="F188" s="986"/>
      <c r="G188" s="986"/>
      <c r="H188" s="986"/>
      <c r="I188" s="986"/>
      <c r="J188" s="986"/>
      <c r="K188" s="946"/>
      <c r="L188" s="946"/>
      <c r="M188" s="288" t="s">
        <v>259</v>
      </c>
      <c r="N188" s="289" t="s">
        <v>258</v>
      </c>
      <c r="O188" s="291">
        <v>7</v>
      </c>
      <c r="P188" s="292">
        <v>6000</v>
      </c>
      <c r="Q188" s="293">
        <v>42000</v>
      </c>
      <c r="R188" s="294">
        <v>42000</v>
      </c>
      <c r="S188" s="295">
        <v>42000</v>
      </c>
      <c r="T188" s="295">
        <v>42000</v>
      </c>
      <c r="U188" s="40">
        <v>6000</v>
      </c>
      <c r="V188" s="40">
        <f t="shared" si="55"/>
        <v>6000</v>
      </c>
      <c r="W188" s="40">
        <f t="shared" si="56"/>
        <v>3000</v>
      </c>
      <c r="X188" s="40">
        <f t="shared" si="57"/>
        <v>3000</v>
      </c>
      <c r="Y188" s="40">
        <f t="shared" si="58"/>
        <v>3000</v>
      </c>
      <c r="Z188" s="40">
        <f t="shared" si="59"/>
        <v>3000</v>
      </c>
      <c r="AA188" s="904"/>
      <c r="AB188" s="904"/>
      <c r="AC188" s="904"/>
      <c r="AD188" s="904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</row>
    <row r="189" spans="1:87" s="268" customFormat="1" ht="51">
      <c r="A189" s="984"/>
      <c r="B189" s="986"/>
      <c r="C189" s="986"/>
      <c r="D189" s="986"/>
      <c r="E189" s="986"/>
      <c r="F189" s="986"/>
      <c r="G189" s="986"/>
      <c r="H189" s="986"/>
      <c r="I189" s="986"/>
      <c r="J189" s="986"/>
      <c r="K189" s="946"/>
      <c r="L189" s="946"/>
      <c r="M189" s="288" t="s">
        <v>260</v>
      </c>
      <c r="N189" s="296" t="s">
        <v>261</v>
      </c>
      <c r="O189" s="291">
        <v>8</v>
      </c>
      <c r="P189" s="292">
        <v>5000</v>
      </c>
      <c r="Q189" s="293">
        <v>40000</v>
      </c>
      <c r="R189" s="294">
        <v>40000</v>
      </c>
      <c r="S189" s="295">
        <v>40000</v>
      </c>
      <c r="T189" s="295">
        <v>40000</v>
      </c>
      <c r="U189" s="40">
        <v>15000</v>
      </c>
      <c r="V189" s="40">
        <f t="shared" si="55"/>
        <v>15000</v>
      </c>
      <c r="W189" s="40">
        <f t="shared" si="56"/>
        <v>7500</v>
      </c>
      <c r="X189" s="40">
        <f t="shared" si="57"/>
        <v>7500</v>
      </c>
      <c r="Y189" s="40">
        <f t="shared" si="58"/>
        <v>7500</v>
      </c>
      <c r="Z189" s="40">
        <f t="shared" si="59"/>
        <v>7500</v>
      </c>
      <c r="AA189" s="904"/>
      <c r="AB189" s="904"/>
      <c r="AC189" s="904"/>
      <c r="AD189" s="904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</row>
    <row r="190" spans="1:87" s="268" customFormat="1">
      <c r="A190" s="1098" t="s">
        <v>262</v>
      </c>
      <c r="B190" s="1114"/>
      <c r="C190" s="986"/>
      <c r="D190" s="986"/>
      <c r="E190" s="986"/>
      <c r="F190" s="986"/>
      <c r="G190" s="986"/>
      <c r="H190" s="986"/>
      <c r="I190" s="297" t="s">
        <v>200</v>
      </c>
      <c r="J190" s="298" t="e">
        <f>J191+#REF!</f>
        <v>#REF!</v>
      </c>
      <c r="K190" s="298" t="e">
        <f>K191+#REF!</f>
        <v>#REF!</v>
      </c>
      <c r="L190" s="299"/>
      <c r="M190" s="299"/>
      <c r="N190" s="300"/>
      <c r="O190" s="301" t="e">
        <f>O191+#REF!</f>
        <v>#REF!</v>
      </c>
      <c r="P190" s="301" t="e">
        <f>P191+#REF!</f>
        <v>#REF!</v>
      </c>
      <c r="Q190" s="301" t="e">
        <f>Q191+#REF!</f>
        <v>#REF!</v>
      </c>
      <c r="R190" s="302" t="e">
        <f>R191+#REF!</f>
        <v>#REF!</v>
      </c>
      <c r="S190" s="303" t="e">
        <f>S191+#REF!</f>
        <v>#REF!</v>
      </c>
      <c r="T190" s="303" t="e">
        <f>T191+#REF!</f>
        <v>#REF!</v>
      </c>
      <c r="U190" s="304">
        <f>U191</f>
        <v>9925350</v>
      </c>
      <c r="V190" s="304">
        <f>V191</f>
        <v>9925350</v>
      </c>
      <c r="W190" s="304">
        <f>W201</f>
        <v>4962675</v>
      </c>
      <c r="X190" s="304">
        <f>X201</f>
        <v>4962675</v>
      </c>
      <c r="Y190" s="304">
        <f>Y219</f>
        <v>4962675</v>
      </c>
      <c r="Z190" s="304">
        <f>Z219</f>
        <v>4962675</v>
      </c>
      <c r="AA190" s="904"/>
      <c r="AB190" s="904"/>
      <c r="AC190" s="904"/>
      <c r="AD190" s="904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</row>
    <row r="191" spans="1:87" s="268" customFormat="1">
      <c r="A191" s="982"/>
      <c r="B191" s="986"/>
      <c r="C191" s="986"/>
      <c r="D191" s="986"/>
      <c r="E191" s="986"/>
      <c r="F191" s="986"/>
      <c r="G191" s="986"/>
      <c r="H191" s="986"/>
      <c r="I191" s="1115" t="s">
        <v>263</v>
      </c>
      <c r="J191" s="1116">
        <v>1613333.67</v>
      </c>
      <c r="K191" s="1117">
        <v>8321350</v>
      </c>
      <c r="L191" s="1107" t="s">
        <v>112</v>
      </c>
      <c r="M191" s="305" t="s">
        <v>264</v>
      </c>
      <c r="N191" s="306"/>
      <c r="O191" s="307" t="e">
        <f>#REF!+O192+O194+#REF!+#REF!+#REF!+O196+O198</f>
        <v>#REF!</v>
      </c>
      <c r="P191" s="307" t="e">
        <f>Q191/O191</f>
        <v>#REF!</v>
      </c>
      <c r="Q191" s="307" t="e">
        <f>#REF!+Q192+Q194+#REF!+#REF!+#REF!+Q196+Q198</f>
        <v>#REF!</v>
      </c>
      <c r="R191" s="308" t="e">
        <f>#REF!+R192+R194+#REF!+#REF!+#REF!+R196+R198</f>
        <v>#REF!</v>
      </c>
      <c r="S191" s="309">
        <v>9362500</v>
      </c>
      <c r="T191" s="309">
        <v>22700500</v>
      </c>
      <c r="U191" s="310">
        <f t="shared" ref="U191:Z191" si="60">U192+U194+U196+U198</f>
        <v>9925350</v>
      </c>
      <c r="V191" s="310">
        <f t="shared" si="60"/>
        <v>9925350</v>
      </c>
      <c r="W191" s="310">
        <f t="shared" si="60"/>
        <v>0</v>
      </c>
      <c r="X191" s="310">
        <f t="shared" si="60"/>
        <v>0</v>
      </c>
      <c r="Y191" s="310">
        <f t="shared" si="60"/>
        <v>0</v>
      </c>
      <c r="Z191" s="310">
        <f t="shared" si="60"/>
        <v>0</v>
      </c>
      <c r="AA191" s="904"/>
      <c r="AB191" s="904"/>
      <c r="AC191" s="904"/>
      <c r="AD191" s="904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</row>
    <row r="192" spans="1:87" s="268" customFormat="1" ht="60.75">
      <c r="A192" s="982"/>
      <c r="B192" s="986"/>
      <c r="C192" s="986"/>
      <c r="D192" s="986"/>
      <c r="E192" s="986"/>
      <c r="F192" s="986"/>
      <c r="G192" s="986"/>
      <c r="H192" s="986"/>
      <c r="I192" s="1003"/>
      <c r="J192" s="986"/>
      <c r="K192" s="946"/>
      <c r="L192" s="986"/>
      <c r="M192" s="311" t="s">
        <v>265</v>
      </c>
      <c r="N192" s="312"/>
      <c r="O192" s="313">
        <f>SUM(O193:O193)</f>
        <v>10</v>
      </c>
      <c r="P192" s="313"/>
      <c r="Q192" s="314">
        <f t="shared" ref="Q192:Z192" si="61">SUM(Q193:Q193)</f>
        <v>1100000</v>
      </c>
      <c r="R192" s="315">
        <f t="shared" si="61"/>
        <v>1100000</v>
      </c>
      <c r="S192" s="315">
        <f t="shared" si="61"/>
        <v>0</v>
      </c>
      <c r="T192" s="315">
        <f t="shared" si="61"/>
        <v>0</v>
      </c>
      <c r="U192" s="316">
        <f t="shared" si="61"/>
        <v>1100350</v>
      </c>
      <c r="V192" s="316">
        <f t="shared" si="61"/>
        <v>1100350</v>
      </c>
      <c r="W192" s="316">
        <f t="shared" si="61"/>
        <v>0</v>
      </c>
      <c r="X192" s="316">
        <f t="shared" si="61"/>
        <v>0</v>
      </c>
      <c r="Y192" s="316">
        <f t="shared" si="61"/>
        <v>0</v>
      </c>
      <c r="Z192" s="316">
        <f t="shared" si="61"/>
        <v>0</v>
      </c>
      <c r="AA192" s="904"/>
      <c r="AB192" s="904"/>
      <c r="AC192" s="904"/>
      <c r="AD192" s="904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</row>
    <row r="193" spans="1:87" s="268" customFormat="1" ht="81">
      <c r="A193" s="982"/>
      <c r="B193" s="986"/>
      <c r="C193" s="986"/>
      <c r="D193" s="986"/>
      <c r="E193" s="986"/>
      <c r="F193" s="986"/>
      <c r="G193" s="986"/>
      <c r="H193" s="986"/>
      <c r="I193" s="1003"/>
      <c r="J193" s="986"/>
      <c r="K193" s="946"/>
      <c r="L193" s="986"/>
      <c r="M193" s="317" t="s">
        <v>266</v>
      </c>
      <c r="N193" s="318" t="s">
        <v>70</v>
      </c>
      <c r="O193" s="319">
        <v>10</v>
      </c>
      <c r="P193" s="319">
        <v>110000</v>
      </c>
      <c r="Q193" s="320">
        <f>O193*P193</f>
        <v>1100000</v>
      </c>
      <c r="R193" s="321">
        <f>Q193</f>
        <v>1100000</v>
      </c>
      <c r="S193" s="322"/>
      <c r="T193" s="322"/>
      <c r="U193" s="40">
        <v>1100350</v>
      </c>
      <c r="V193" s="40">
        <f>U193</f>
        <v>1100350</v>
      </c>
      <c r="W193" s="40">
        <v>0</v>
      </c>
      <c r="X193" s="40">
        <v>0</v>
      </c>
      <c r="Y193" s="40">
        <v>0</v>
      </c>
      <c r="Z193" s="40">
        <v>0</v>
      </c>
      <c r="AA193" s="904"/>
      <c r="AB193" s="904"/>
      <c r="AC193" s="904"/>
      <c r="AD193" s="904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</row>
    <row r="194" spans="1:87" s="268" customFormat="1" ht="60.75">
      <c r="A194" s="982"/>
      <c r="B194" s="986"/>
      <c r="C194" s="986"/>
      <c r="D194" s="986"/>
      <c r="E194" s="986"/>
      <c r="F194" s="986"/>
      <c r="G194" s="986"/>
      <c r="H194" s="986"/>
      <c r="I194" s="1003"/>
      <c r="J194" s="986"/>
      <c r="K194" s="946"/>
      <c r="L194" s="986"/>
      <c r="M194" s="311" t="s">
        <v>267</v>
      </c>
      <c r="N194" s="312"/>
      <c r="O194" s="313">
        <f>SUM(O195:O195)</f>
        <v>1</v>
      </c>
      <c r="P194" s="313"/>
      <c r="Q194" s="313">
        <f t="shared" ref="Q194:Z194" si="62">SUM(Q195:Q195)</f>
        <v>800000</v>
      </c>
      <c r="R194" s="315">
        <f t="shared" si="62"/>
        <v>800000</v>
      </c>
      <c r="S194" s="315">
        <f t="shared" si="62"/>
        <v>0</v>
      </c>
      <c r="T194" s="315">
        <f t="shared" si="62"/>
        <v>0</v>
      </c>
      <c r="U194" s="316">
        <f t="shared" si="62"/>
        <v>1400000</v>
      </c>
      <c r="V194" s="316">
        <f t="shared" si="62"/>
        <v>1400000</v>
      </c>
      <c r="W194" s="316">
        <f t="shared" si="62"/>
        <v>0</v>
      </c>
      <c r="X194" s="316">
        <f t="shared" si="62"/>
        <v>0</v>
      </c>
      <c r="Y194" s="316">
        <f t="shared" si="62"/>
        <v>0</v>
      </c>
      <c r="Z194" s="316">
        <f t="shared" si="62"/>
        <v>0</v>
      </c>
      <c r="AA194" s="904"/>
      <c r="AB194" s="904"/>
      <c r="AC194" s="904"/>
      <c r="AD194" s="904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</row>
    <row r="195" spans="1:87" s="268" customFormat="1" ht="85.5" customHeight="1">
      <c r="A195" s="982"/>
      <c r="B195" s="986"/>
      <c r="C195" s="986"/>
      <c r="D195" s="986"/>
      <c r="E195" s="986"/>
      <c r="F195" s="986"/>
      <c r="G195" s="986"/>
      <c r="H195" s="986"/>
      <c r="I195" s="1003"/>
      <c r="J195" s="986"/>
      <c r="K195" s="946"/>
      <c r="L195" s="986"/>
      <c r="M195" s="323" t="s">
        <v>268</v>
      </c>
      <c r="N195" s="318" t="s">
        <v>70</v>
      </c>
      <c r="O195" s="320">
        <v>1</v>
      </c>
      <c r="P195" s="320">
        <v>800000</v>
      </c>
      <c r="Q195" s="320">
        <f>P195*O195</f>
        <v>800000</v>
      </c>
      <c r="R195" s="321">
        <f>Q195</f>
        <v>800000</v>
      </c>
      <c r="S195" s="322"/>
      <c r="T195" s="322"/>
      <c r="U195" s="40">
        <v>1400000</v>
      </c>
      <c r="V195" s="40">
        <f>U195</f>
        <v>1400000</v>
      </c>
      <c r="W195" s="40">
        <v>0</v>
      </c>
      <c r="X195" s="40">
        <v>0</v>
      </c>
      <c r="Y195" s="40">
        <v>0</v>
      </c>
      <c r="Z195" s="40">
        <v>0</v>
      </c>
      <c r="AA195" s="904"/>
      <c r="AB195" s="904"/>
      <c r="AC195" s="904"/>
      <c r="AD195" s="904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</row>
    <row r="196" spans="1:87" s="268" customFormat="1" ht="105.75" customHeight="1">
      <c r="A196" s="982"/>
      <c r="B196" s="986"/>
      <c r="C196" s="986"/>
      <c r="D196" s="986"/>
      <c r="E196" s="986"/>
      <c r="F196" s="986"/>
      <c r="G196" s="986"/>
      <c r="H196" s="986"/>
      <c r="I196" s="1003"/>
      <c r="J196" s="986"/>
      <c r="K196" s="946"/>
      <c r="L196" s="986"/>
      <c r="M196" s="311" t="s">
        <v>269</v>
      </c>
      <c r="N196" s="312"/>
      <c r="O196" s="313">
        <f>SUM(O197:O197)</f>
        <v>1</v>
      </c>
      <c r="P196" s="313"/>
      <c r="Q196" s="313">
        <f t="shared" ref="Q196:Z196" si="63">SUM(Q197:Q197)</f>
        <v>2200000</v>
      </c>
      <c r="R196" s="315">
        <f t="shared" si="63"/>
        <v>2200000</v>
      </c>
      <c r="S196" s="315">
        <f t="shared" si="63"/>
        <v>0</v>
      </c>
      <c r="T196" s="315">
        <f t="shared" si="63"/>
        <v>0</v>
      </c>
      <c r="U196" s="316">
        <f t="shared" si="63"/>
        <v>6200000</v>
      </c>
      <c r="V196" s="316">
        <f t="shared" si="63"/>
        <v>6200000</v>
      </c>
      <c r="W196" s="316">
        <f t="shared" si="63"/>
        <v>0</v>
      </c>
      <c r="X196" s="316">
        <f t="shared" si="63"/>
        <v>0</v>
      </c>
      <c r="Y196" s="316">
        <f t="shared" si="63"/>
        <v>0</v>
      </c>
      <c r="Z196" s="316">
        <f t="shared" si="63"/>
        <v>0</v>
      </c>
      <c r="AA196" s="904"/>
      <c r="AB196" s="904"/>
      <c r="AC196" s="904"/>
      <c r="AD196" s="904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</row>
    <row r="197" spans="1:87" s="268" customFormat="1" ht="31.5" customHeight="1">
      <c r="A197" s="982"/>
      <c r="B197" s="986"/>
      <c r="C197" s="986"/>
      <c r="D197" s="986"/>
      <c r="E197" s="986"/>
      <c r="F197" s="986"/>
      <c r="G197" s="986"/>
      <c r="H197" s="986"/>
      <c r="I197" s="1003"/>
      <c r="J197" s="986"/>
      <c r="K197" s="946"/>
      <c r="L197" s="986"/>
      <c r="M197" s="317" t="s">
        <v>270</v>
      </c>
      <c r="N197" s="318" t="s">
        <v>70</v>
      </c>
      <c r="O197" s="320">
        <v>1</v>
      </c>
      <c r="P197" s="319">
        <v>2200000</v>
      </c>
      <c r="Q197" s="320">
        <f>P197*O197</f>
        <v>2200000</v>
      </c>
      <c r="R197" s="321">
        <f>1*P197</f>
        <v>2200000</v>
      </c>
      <c r="S197" s="324"/>
      <c r="T197" s="322"/>
      <c r="U197" s="40">
        <v>6200000</v>
      </c>
      <c r="V197" s="40">
        <f>U197</f>
        <v>6200000</v>
      </c>
      <c r="W197" s="40">
        <v>0</v>
      </c>
      <c r="X197" s="40">
        <v>0</v>
      </c>
      <c r="Y197" s="40">
        <v>0</v>
      </c>
      <c r="Z197" s="40">
        <v>0</v>
      </c>
      <c r="AA197" s="904"/>
      <c r="AB197" s="904"/>
      <c r="AC197" s="904"/>
      <c r="AD197" s="904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</row>
    <row r="198" spans="1:87" s="268" customFormat="1" ht="60.75">
      <c r="A198" s="982"/>
      <c r="B198" s="986"/>
      <c r="C198" s="986"/>
      <c r="D198" s="986"/>
      <c r="E198" s="986"/>
      <c r="F198" s="986"/>
      <c r="G198" s="986"/>
      <c r="H198" s="986"/>
      <c r="I198" s="1003"/>
      <c r="J198" s="986"/>
      <c r="K198" s="946"/>
      <c r="L198" s="986"/>
      <c r="M198" s="311" t="s">
        <v>271</v>
      </c>
      <c r="N198" s="312"/>
      <c r="O198" s="314">
        <f>SUM(O199:O200)</f>
        <v>3</v>
      </c>
      <c r="P198" s="314"/>
      <c r="Q198" s="314">
        <f t="shared" ref="Q198:Z198" si="64">SUM(Q199:Q200)</f>
        <v>775000</v>
      </c>
      <c r="R198" s="325">
        <f t="shared" si="64"/>
        <v>775000</v>
      </c>
      <c r="S198" s="325">
        <f t="shared" si="64"/>
        <v>0</v>
      </c>
      <c r="T198" s="325">
        <f t="shared" si="64"/>
        <v>0</v>
      </c>
      <c r="U198" s="326">
        <f t="shared" si="64"/>
        <v>1225000</v>
      </c>
      <c r="V198" s="326">
        <f t="shared" si="64"/>
        <v>1225000</v>
      </c>
      <c r="W198" s="326">
        <f t="shared" si="64"/>
        <v>0</v>
      </c>
      <c r="X198" s="326">
        <f t="shared" si="64"/>
        <v>0</v>
      </c>
      <c r="Y198" s="326">
        <f t="shared" si="64"/>
        <v>0</v>
      </c>
      <c r="Z198" s="326">
        <f t="shared" si="64"/>
        <v>0</v>
      </c>
      <c r="AA198" s="904"/>
      <c r="AB198" s="904"/>
      <c r="AC198" s="904"/>
      <c r="AD198" s="904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</row>
    <row r="199" spans="1:87" s="268" customFormat="1" ht="30.75" customHeight="1">
      <c r="A199" s="982"/>
      <c r="B199" s="986"/>
      <c r="C199" s="986"/>
      <c r="D199" s="986"/>
      <c r="E199" s="986"/>
      <c r="F199" s="986"/>
      <c r="G199" s="986"/>
      <c r="H199" s="986"/>
      <c r="I199" s="1003"/>
      <c r="J199" s="986"/>
      <c r="K199" s="946"/>
      <c r="L199" s="986"/>
      <c r="M199" s="317" t="s">
        <v>272</v>
      </c>
      <c r="N199" s="318" t="s">
        <v>70</v>
      </c>
      <c r="O199" s="319">
        <v>1</v>
      </c>
      <c r="P199" s="320">
        <v>175000</v>
      </c>
      <c r="Q199" s="320">
        <f>P199*O199</f>
        <v>175000</v>
      </c>
      <c r="R199" s="321">
        <f>Q199</f>
        <v>175000</v>
      </c>
      <c r="S199" s="324"/>
      <c r="T199" s="324"/>
      <c r="U199" s="327">
        <v>625000</v>
      </c>
      <c r="V199" s="327">
        <f>U199</f>
        <v>625000</v>
      </c>
      <c r="W199" s="40"/>
      <c r="X199" s="40"/>
      <c r="Y199" s="40"/>
      <c r="Z199" s="40"/>
      <c r="AA199" s="904"/>
      <c r="AB199" s="904"/>
      <c r="AC199" s="904"/>
      <c r="AD199" s="904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</row>
    <row r="200" spans="1:87" s="268" customFormat="1" ht="101.25">
      <c r="A200" s="982"/>
      <c r="B200" s="986"/>
      <c r="C200" s="986"/>
      <c r="D200" s="986"/>
      <c r="E200" s="986"/>
      <c r="F200" s="986"/>
      <c r="G200" s="986"/>
      <c r="H200" s="986"/>
      <c r="I200" s="1003"/>
      <c r="J200" s="986"/>
      <c r="K200" s="946"/>
      <c r="L200" s="986"/>
      <c r="M200" s="317" t="s">
        <v>273</v>
      </c>
      <c r="N200" s="318" t="s">
        <v>70</v>
      </c>
      <c r="O200" s="319">
        <v>2</v>
      </c>
      <c r="P200" s="320">
        <v>300000</v>
      </c>
      <c r="Q200" s="320">
        <f>P200*O200</f>
        <v>600000</v>
      </c>
      <c r="R200" s="321">
        <f>Q200</f>
        <v>600000</v>
      </c>
      <c r="S200" s="324"/>
      <c r="T200" s="324"/>
      <c r="U200" s="327">
        <v>600000</v>
      </c>
      <c r="V200" s="327">
        <f>U200</f>
        <v>600000</v>
      </c>
      <c r="W200" s="40"/>
      <c r="X200" s="40"/>
      <c r="Y200" s="40"/>
      <c r="Z200" s="40"/>
      <c r="AA200" s="904"/>
      <c r="AB200" s="904"/>
      <c r="AC200" s="904"/>
      <c r="AD200" s="904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</row>
    <row r="201" spans="1:87" s="268" customFormat="1">
      <c r="A201" s="982"/>
      <c r="B201" s="986"/>
      <c r="C201" s="986"/>
      <c r="D201" s="986"/>
      <c r="E201" s="986"/>
      <c r="F201" s="986"/>
      <c r="G201" s="986"/>
      <c r="H201" s="986"/>
      <c r="I201" s="1003"/>
      <c r="J201" s="986"/>
      <c r="K201" s="946"/>
      <c r="L201" s="986"/>
      <c r="M201" s="305" t="s">
        <v>274</v>
      </c>
      <c r="N201" s="318"/>
      <c r="O201" s="319"/>
      <c r="P201" s="320"/>
      <c r="Q201" s="320"/>
      <c r="R201" s="321"/>
      <c r="S201" s="324"/>
      <c r="T201" s="324"/>
      <c r="U201" s="40"/>
      <c r="V201" s="40"/>
      <c r="W201" s="328">
        <f>W202+W206+W211+W217</f>
        <v>4962675</v>
      </c>
      <c r="X201" s="328">
        <f>X202+X206+X211+X217</f>
        <v>4962675</v>
      </c>
      <c r="Y201" s="40"/>
      <c r="Z201" s="40"/>
      <c r="AA201" s="904"/>
      <c r="AB201" s="904"/>
      <c r="AC201" s="904"/>
      <c r="AD201" s="904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</row>
    <row r="202" spans="1:87" s="268" customFormat="1" ht="45" customHeight="1">
      <c r="A202" s="982"/>
      <c r="B202" s="986"/>
      <c r="C202" s="986"/>
      <c r="D202" s="986"/>
      <c r="E202" s="986"/>
      <c r="F202" s="986"/>
      <c r="G202" s="986"/>
      <c r="H202" s="986"/>
      <c r="I202" s="1003"/>
      <c r="J202" s="986"/>
      <c r="K202" s="946"/>
      <c r="L202" s="986"/>
      <c r="M202" s="329" t="s">
        <v>275</v>
      </c>
      <c r="N202" s="318"/>
      <c r="O202" s="330">
        <f>SUM(O203:O205)</f>
        <v>12</v>
      </c>
      <c r="P202" s="330"/>
      <c r="Q202" s="330"/>
      <c r="R202" s="321"/>
      <c r="S202" s="324">
        <v>1290000</v>
      </c>
      <c r="T202" s="324"/>
      <c r="U202" s="40"/>
      <c r="V202" s="40"/>
      <c r="W202" s="328">
        <f>W203+W204+W205</f>
        <v>1290000</v>
      </c>
      <c r="X202" s="328">
        <f>X203+X204+X205</f>
        <v>1290000</v>
      </c>
      <c r="Y202" s="328">
        <f>Y203+Y204+Y205</f>
        <v>0</v>
      </c>
      <c r="Z202" s="40"/>
      <c r="AA202" s="904"/>
      <c r="AB202" s="904"/>
      <c r="AC202" s="904"/>
      <c r="AD202" s="904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</row>
    <row r="203" spans="1:87" s="268" customFormat="1" ht="47.25" customHeight="1">
      <c r="A203" s="982"/>
      <c r="B203" s="986"/>
      <c r="C203" s="986"/>
      <c r="D203" s="986"/>
      <c r="E203" s="986"/>
      <c r="F203" s="986"/>
      <c r="G203" s="986"/>
      <c r="H203" s="986"/>
      <c r="I203" s="1003"/>
      <c r="J203" s="986"/>
      <c r="K203" s="946"/>
      <c r="L203" s="986"/>
      <c r="M203" s="317" t="s">
        <v>276</v>
      </c>
      <c r="N203" s="318" t="s">
        <v>70</v>
      </c>
      <c r="O203" s="331">
        <v>1</v>
      </c>
      <c r="P203" s="319">
        <v>30000</v>
      </c>
      <c r="Q203" s="319"/>
      <c r="R203" s="321"/>
      <c r="S203" s="324">
        <v>30000</v>
      </c>
      <c r="T203" s="324"/>
      <c r="U203" s="40"/>
      <c r="V203" s="40"/>
      <c r="W203" s="327">
        <v>30000</v>
      </c>
      <c r="X203" s="327">
        <f>W203</f>
        <v>30000</v>
      </c>
      <c r="Y203" s="40"/>
      <c r="Z203" s="40"/>
      <c r="AA203" s="904"/>
      <c r="AB203" s="904"/>
      <c r="AC203" s="904"/>
      <c r="AD203" s="904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</row>
    <row r="204" spans="1:87" s="268" customFormat="1" ht="68.25" customHeight="1">
      <c r="A204" s="982"/>
      <c r="B204" s="986"/>
      <c r="C204" s="986"/>
      <c r="D204" s="986"/>
      <c r="E204" s="986"/>
      <c r="F204" s="986"/>
      <c r="G204" s="986"/>
      <c r="H204" s="986"/>
      <c r="I204" s="1003"/>
      <c r="J204" s="986"/>
      <c r="K204" s="946"/>
      <c r="L204" s="986"/>
      <c r="M204" s="317" t="s">
        <v>277</v>
      </c>
      <c r="N204" s="318" t="s">
        <v>70</v>
      </c>
      <c r="O204" s="332">
        <v>1</v>
      </c>
      <c r="P204" s="319">
        <v>360000</v>
      </c>
      <c r="Q204" s="319"/>
      <c r="R204" s="321"/>
      <c r="S204" s="324">
        <v>360000</v>
      </c>
      <c r="T204" s="324"/>
      <c r="U204" s="40"/>
      <c r="V204" s="40"/>
      <c r="W204" s="327">
        <v>360000</v>
      </c>
      <c r="X204" s="327">
        <f>W204</f>
        <v>360000</v>
      </c>
      <c r="Y204" s="40"/>
      <c r="Z204" s="40"/>
      <c r="AA204" s="904"/>
      <c r="AB204" s="904"/>
      <c r="AC204" s="904"/>
      <c r="AD204" s="904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</row>
    <row r="205" spans="1:87" s="268" customFormat="1" ht="164.25" customHeight="1">
      <c r="A205" s="982"/>
      <c r="B205" s="986"/>
      <c r="C205" s="986"/>
      <c r="D205" s="986"/>
      <c r="E205" s="986"/>
      <c r="F205" s="986"/>
      <c r="G205" s="986"/>
      <c r="H205" s="986"/>
      <c r="I205" s="1003"/>
      <c r="J205" s="986"/>
      <c r="K205" s="946"/>
      <c r="L205" s="986"/>
      <c r="M205" s="317" t="s">
        <v>278</v>
      </c>
      <c r="N205" s="318" t="s">
        <v>70</v>
      </c>
      <c r="O205" s="319">
        <v>10</v>
      </c>
      <c r="P205" s="319">
        <v>90000</v>
      </c>
      <c r="Q205" s="319"/>
      <c r="R205" s="321"/>
      <c r="S205" s="324">
        <v>900000</v>
      </c>
      <c r="T205" s="324"/>
      <c r="U205" s="40"/>
      <c r="V205" s="40"/>
      <c r="W205" s="327">
        <v>900000</v>
      </c>
      <c r="X205" s="327">
        <f>W205</f>
        <v>900000</v>
      </c>
      <c r="Y205" s="40"/>
      <c r="Z205" s="40"/>
      <c r="AA205" s="904"/>
      <c r="AB205" s="904"/>
      <c r="AC205" s="904"/>
      <c r="AD205" s="904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</row>
    <row r="206" spans="1:87" s="268" customFormat="1" ht="60.75">
      <c r="A206" s="982"/>
      <c r="B206" s="986"/>
      <c r="C206" s="986"/>
      <c r="D206" s="986"/>
      <c r="E206" s="986"/>
      <c r="F206" s="986"/>
      <c r="G206" s="986"/>
      <c r="H206" s="986"/>
      <c r="I206" s="1003"/>
      <c r="J206" s="986"/>
      <c r="K206" s="946"/>
      <c r="L206" s="986"/>
      <c r="M206" s="329" t="s">
        <v>265</v>
      </c>
      <c r="N206" s="318"/>
      <c r="O206" s="330">
        <f>SUM(O207:O210)</f>
        <v>8</v>
      </c>
      <c r="P206" s="330"/>
      <c r="Q206" s="330"/>
      <c r="R206" s="321"/>
      <c r="S206" s="324">
        <v>1072000</v>
      </c>
      <c r="T206" s="324"/>
      <c r="U206" s="328"/>
      <c r="V206" s="328"/>
      <c r="W206" s="328">
        <f>W207+W208+W209+W210</f>
        <v>1072000</v>
      </c>
      <c r="X206" s="328">
        <f>X207+X208+X209+X210</f>
        <v>1072000</v>
      </c>
      <c r="Y206" s="328">
        <f>Y207+Y208+Y209+Y210</f>
        <v>0</v>
      </c>
      <c r="Z206" s="40"/>
      <c r="AA206" s="904"/>
      <c r="AB206" s="904"/>
      <c r="AC206" s="904"/>
      <c r="AD206" s="904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</row>
    <row r="207" spans="1:87" s="268" customFormat="1" ht="43.5" customHeight="1">
      <c r="A207" s="982"/>
      <c r="B207" s="986"/>
      <c r="C207" s="986"/>
      <c r="D207" s="986"/>
      <c r="E207" s="986"/>
      <c r="F207" s="986"/>
      <c r="G207" s="986"/>
      <c r="H207" s="986"/>
      <c r="I207" s="1003"/>
      <c r="J207" s="986"/>
      <c r="K207" s="946"/>
      <c r="L207" s="986"/>
      <c r="M207" s="317" t="s">
        <v>279</v>
      </c>
      <c r="N207" s="318" t="s">
        <v>70</v>
      </c>
      <c r="O207" s="319">
        <v>1</v>
      </c>
      <c r="P207" s="319">
        <v>250000</v>
      </c>
      <c r="Q207" s="319"/>
      <c r="R207" s="321"/>
      <c r="S207" s="324">
        <v>250000</v>
      </c>
      <c r="T207" s="324"/>
      <c r="U207" s="40"/>
      <c r="V207" s="40"/>
      <c r="W207" s="327">
        <v>250000</v>
      </c>
      <c r="X207" s="327">
        <f>W207</f>
        <v>250000</v>
      </c>
      <c r="Y207" s="40"/>
      <c r="Z207" s="40"/>
      <c r="AA207" s="904"/>
      <c r="AB207" s="904"/>
      <c r="AC207" s="904"/>
      <c r="AD207" s="904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</row>
    <row r="208" spans="1:87" s="268" customFormat="1" ht="66" customHeight="1">
      <c r="A208" s="982"/>
      <c r="B208" s="986"/>
      <c r="C208" s="986"/>
      <c r="D208" s="986"/>
      <c r="E208" s="986"/>
      <c r="F208" s="986"/>
      <c r="G208" s="986"/>
      <c r="H208" s="986"/>
      <c r="I208" s="1003"/>
      <c r="J208" s="986"/>
      <c r="K208" s="946"/>
      <c r="L208" s="986"/>
      <c r="M208" s="317" t="s">
        <v>280</v>
      </c>
      <c r="N208" s="318" t="s">
        <v>70</v>
      </c>
      <c r="O208" s="319">
        <v>1</v>
      </c>
      <c r="P208" s="319">
        <v>800000</v>
      </c>
      <c r="Q208" s="319"/>
      <c r="R208" s="321"/>
      <c r="S208" s="324">
        <v>800000</v>
      </c>
      <c r="T208" s="324"/>
      <c r="U208" s="40"/>
      <c r="V208" s="40"/>
      <c r="W208" s="327">
        <v>800000</v>
      </c>
      <c r="X208" s="327">
        <f>W208</f>
        <v>800000</v>
      </c>
      <c r="Y208" s="40"/>
      <c r="Z208" s="40"/>
      <c r="AA208" s="904"/>
      <c r="AB208" s="904"/>
      <c r="AC208" s="904"/>
      <c r="AD208" s="904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</row>
    <row r="209" spans="1:87" s="268" customFormat="1" ht="60.75">
      <c r="A209" s="982"/>
      <c r="B209" s="986"/>
      <c r="C209" s="986"/>
      <c r="D209" s="986"/>
      <c r="E209" s="986"/>
      <c r="F209" s="986"/>
      <c r="G209" s="986"/>
      <c r="H209" s="986"/>
      <c r="I209" s="1003"/>
      <c r="J209" s="986"/>
      <c r="K209" s="946"/>
      <c r="L209" s="986"/>
      <c r="M209" s="333" t="s">
        <v>281</v>
      </c>
      <c r="N209" s="318" t="s">
        <v>70</v>
      </c>
      <c r="O209" s="319">
        <v>2</v>
      </c>
      <c r="P209" s="319">
        <v>5000</v>
      </c>
      <c r="Q209" s="319"/>
      <c r="R209" s="321"/>
      <c r="S209" s="324">
        <v>10000</v>
      </c>
      <c r="T209" s="324"/>
      <c r="U209" s="40"/>
      <c r="V209" s="40"/>
      <c r="W209" s="327">
        <v>10000</v>
      </c>
      <c r="X209" s="327">
        <f>W209</f>
        <v>10000</v>
      </c>
      <c r="Y209" s="40"/>
      <c r="Z209" s="40"/>
      <c r="AA209" s="904"/>
      <c r="AB209" s="904"/>
      <c r="AC209" s="904"/>
      <c r="AD209" s="904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</row>
    <row r="210" spans="1:87" s="268" customFormat="1" ht="40.5">
      <c r="A210" s="982"/>
      <c r="B210" s="986"/>
      <c r="C210" s="986"/>
      <c r="D210" s="986"/>
      <c r="E210" s="986"/>
      <c r="F210" s="986"/>
      <c r="G210" s="986"/>
      <c r="H210" s="986"/>
      <c r="I210" s="1003"/>
      <c r="J210" s="986"/>
      <c r="K210" s="946"/>
      <c r="L210" s="986"/>
      <c r="M210" s="333" t="s">
        <v>282</v>
      </c>
      <c r="N210" s="318" t="s">
        <v>70</v>
      </c>
      <c r="O210" s="319">
        <v>4</v>
      </c>
      <c r="P210" s="319">
        <v>3000</v>
      </c>
      <c r="Q210" s="319"/>
      <c r="R210" s="321"/>
      <c r="S210" s="324">
        <v>12000</v>
      </c>
      <c r="T210" s="324"/>
      <c r="U210" s="40"/>
      <c r="V210" s="40"/>
      <c r="W210" s="327">
        <v>12000</v>
      </c>
      <c r="X210" s="327">
        <f>W210</f>
        <v>12000</v>
      </c>
      <c r="Y210" s="40"/>
      <c r="Z210" s="40"/>
      <c r="AA210" s="904"/>
      <c r="AB210" s="904"/>
      <c r="AC210" s="904"/>
      <c r="AD210" s="904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</row>
    <row r="211" spans="1:87" s="268" customFormat="1" ht="60.75">
      <c r="A211" s="982"/>
      <c r="B211" s="986"/>
      <c r="C211" s="986"/>
      <c r="D211" s="986"/>
      <c r="E211" s="986"/>
      <c r="F211" s="986"/>
      <c r="G211" s="986"/>
      <c r="H211" s="986"/>
      <c r="I211" s="1003"/>
      <c r="J211" s="986"/>
      <c r="K211" s="946"/>
      <c r="L211" s="986"/>
      <c r="M211" s="329" t="s">
        <v>267</v>
      </c>
      <c r="N211" s="318"/>
      <c r="O211" s="330">
        <f>SUM(O212:O216)</f>
        <v>16</v>
      </c>
      <c r="P211" s="330"/>
      <c r="Q211" s="330"/>
      <c r="R211" s="321"/>
      <c r="S211" s="324">
        <v>1960500</v>
      </c>
      <c r="T211" s="324"/>
      <c r="U211" s="40"/>
      <c r="V211" s="40"/>
      <c r="W211" s="328">
        <f>W212+W213+W214+W215+W216</f>
        <v>1960500</v>
      </c>
      <c r="X211" s="328">
        <f>X212+X213+X214+X215+X216</f>
        <v>1960500</v>
      </c>
      <c r="Y211" s="40"/>
      <c r="Z211" s="40"/>
      <c r="AA211" s="904"/>
      <c r="AB211" s="904"/>
      <c r="AC211" s="904"/>
      <c r="AD211" s="904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</row>
    <row r="212" spans="1:87" s="268" customFormat="1" ht="29.25">
      <c r="A212" s="982"/>
      <c r="B212" s="986"/>
      <c r="C212" s="986"/>
      <c r="D212" s="986"/>
      <c r="E212" s="986"/>
      <c r="F212" s="986"/>
      <c r="G212" s="986"/>
      <c r="H212" s="986"/>
      <c r="I212" s="1003"/>
      <c r="J212" s="986"/>
      <c r="K212" s="946"/>
      <c r="L212" s="986"/>
      <c r="M212" s="333" t="s">
        <v>283</v>
      </c>
      <c r="N212" s="318" t="s">
        <v>70</v>
      </c>
      <c r="O212" s="319">
        <v>10</v>
      </c>
      <c r="P212" s="319">
        <v>10000</v>
      </c>
      <c r="Q212" s="319"/>
      <c r="R212" s="321"/>
      <c r="S212" s="324">
        <v>100000</v>
      </c>
      <c r="T212" s="324"/>
      <c r="U212" s="40"/>
      <c r="V212" s="40"/>
      <c r="W212" s="40">
        <v>100000</v>
      </c>
      <c r="X212" s="40">
        <f>W212</f>
        <v>100000</v>
      </c>
      <c r="Y212" s="40"/>
      <c r="Z212" s="40"/>
      <c r="AA212" s="904"/>
      <c r="AB212" s="904"/>
      <c r="AC212" s="904"/>
      <c r="AD212" s="904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</row>
    <row r="213" spans="1:87" s="268" customFormat="1" ht="29.25">
      <c r="A213" s="982"/>
      <c r="B213" s="986"/>
      <c r="C213" s="986"/>
      <c r="D213" s="986"/>
      <c r="E213" s="986"/>
      <c r="F213" s="986"/>
      <c r="G213" s="986"/>
      <c r="H213" s="986"/>
      <c r="I213" s="1003"/>
      <c r="J213" s="986"/>
      <c r="K213" s="946"/>
      <c r="L213" s="986"/>
      <c r="M213" s="333" t="s">
        <v>284</v>
      </c>
      <c r="N213" s="318" t="s">
        <v>70</v>
      </c>
      <c r="O213" s="319">
        <v>3</v>
      </c>
      <c r="P213" s="319">
        <v>3500</v>
      </c>
      <c r="Q213" s="319"/>
      <c r="R213" s="321"/>
      <c r="S213" s="324">
        <v>10500</v>
      </c>
      <c r="T213" s="324"/>
      <c r="U213" s="40"/>
      <c r="V213" s="40"/>
      <c r="W213" s="40">
        <v>10500</v>
      </c>
      <c r="X213" s="40">
        <f>W213</f>
        <v>10500</v>
      </c>
      <c r="Y213" s="40"/>
      <c r="Z213" s="40"/>
      <c r="AA213" s="904"/>
      <c r="AB213" s="904"/>
      <c r="AC213" s="904"/>
      <c r="AD213" s="904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</row>
    <row r="214" spans="1:87" s="268" customFormat="1" ht="126" customHeight="1">
      <c r="A214" s="982"/>
      <c r="B214" s="986"/>
      <c r="C214" s="986"/>
      <c r="D214" s="986"/>
      <c r="E214" s="986"/>
      <c r="F214" s="986"/>
      <c r="G214" s="986"/>
      <c r="H214" s="986"/>
      <c r="I214" s="1003"/>
      <c r="J214" s="986"/>
      <c r="K214" s="946"/>
      <c r="L214" s="986"/>
      <c r="M214" s="333" t="s">
        <v>285</v>
      </c>
      <c r="N214" s="318" t="s">
        <v>70</v>
      </c>
      <c r="O214" s="319">
        <v>1</v>
      </c>
      <c r="P214" s="319">
        <v>750000</v>
      </c>
      <c r="Q214" s="319"/>
      <c r="R214" s="321"/>
      <c r="S214" s="324">
        <v>750000</v>
      </c>
      <c r="T214" s="324"/>
      <c r="U214" s="40"/>
      <c r="V214" s="40"/>
      <c r="W214" s="40">
        <v>750000</v>
      </c>
      <c r="X214" s="40">
        <f>W214</f>
        <v>750000</v>
      </c>
      <c r="Y214" s="40"/>
      <c r="Z214" s="40"/>
      <c r="AA214" s="904"/>
      <c r="AB214" s="904"/>
      <c r="AC214" s="904"/>
      <c r="AD214" s="904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</row>
    <row r="215" spans="1:87" s="268" customFormat="1" ht="91.5" customHeight="1">
      <c r="A215" s="982"/>
      <c r="B215" s="986"/>
      <c r="C215" s="986"/>
      <c r="D215" s="986"/>
      <c r="E215" s="986"/>
      <c r="F215" s="986"/>
      <c r="G215" s="986"/>
      <c r="H215" s="986"/>
      <c r="I215" s="1003"/>
      <c r="J215" s="986"/>
      <c r="K215" s="946"/>
      <c r="L215" s="986"/>
      <c r="M215" s="333" t="s">
        <v>286</v>
      </c>
      <c r="N215" s="318" t="s">
        <v>70</v>
      </c>
      <c r="O215" s="319">
        <v>1</v>
      </c>
      <c r="P215" s="319">
        <v>400000</v>
      </c>
      <c r="Q215" s="319"/>
      <c r="R215" s="321"/>
      <c r="S215" s="324">
        <v>400000</v>
      </c>
      <c r="T215" s="324"/>
      <c r="U215" s="40"/>
      <c r="V215" s="40"/>
      <c r="W215" s="40">
        <v>400000</v>
      </c>
      <c r="X215" s="40">
        <f>W215</f>
        <v>400000</v>
      </c>
      <c r="Y215" s="40"/>
      <c r="Z215" s="40"/>
      <c r="AA215" s="904"/>
      <c r="AB215" s="904"/>
      <c r="AC215" s="904"/>
      <c r="AD215" s="904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</row>
    <row r="216" spans="1:87" s="268" customFormat="1" ht="68.25" customHeight="1">
      <c r="A216" s="982"/>
      <c r="B216" s="986"/>
      <c r="C216" s="986"/>
      <c r="D216" s="986"/>
      <c r="E216" s="986"/>
      <c r="F216" s="986"/>
      <c r="G216" s="986"/>
      <c r="H216" s="986"/>
      <c r="I216" s="1003"/>
      <c r="J216" s="986"/>
      <c r="K216" s="946"/>
      <c r="L216" s="986"/>
      <c r="M216" s="333" t="s">
        <v>287</v>
      </c>
      <c r="N216" s="318" t="s">
        <v>70</v>
      </c>
      <c r="O216" s="319">
        <v>1</v>
      </c>
      <c r="P216" s="319">
        <v>700000</v>
      </c>
      <c r="Q216" s="319"/>
      <c r="R216" s="321"/>
      <c r="S216" s="324">
        <v>700000</v>
      </c>
      <c r="T216" s="324"/>
      <c r="U216" s="40"/>
      <c r="V216" s="40"/>
      <c r="W216" s="40">
        <v>700000</v>
      </c>
      <c r="X216" s="40">
        <f>W216</f>
        <v>700000</v>
      </c>
      <c r="Y216" s="40"/>
      <c r="Z216" s="40"/>
      <c r="AA216" s="904"/>
      <c r="AB216" s="904"/>
      <c r="AC216" s="904"/>
      <c r="AD216" s="904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</row>
    <row r="217" spans="1:87" s="268" customFormat="1" ht="70.5" customHeight="1">
      <c r="A217" s="982"/>
      <c r="B217" s="986"/>
      <c r="C217" s="986"/>
      <c r="D217" s="986"/>
      <c r="E217" s="986"/>
      <c r="F217" s="986"/>
      <c r="G217" s="986"/>
      <c r="H217" s="986"/>
      <c r="I217" s="1003"/>
      <c r="J217" s="986"/>
      <c r="K217" s="946"/>
      <c r="L217" s="986"/>
      <c r="M217" s="329" t="s">
        <v>271</v>
      </c>
      <c r="N217" s="318"/>
      <c r="O217" s="330">
        <f>SUM(O218:O218)</f>
        <v>2</v>
      </c>
      <c r="P217" s="330"/>
      <c r="Q217" s="330"/>
      <c r="R217" s="321"/>
      <c r="S217" s="324">
        <v>1900000</v>
      </c>
      <c r="T217" s="324"/>
      <c r="U217" s="40"/>
      <c r="V217" s="40"/>
      <c r="W217" s="328">
        <f>W218</f>
        <v>640175</v>
      </c>
      <c r="X217" s="328">
        <f>X218</f>
        <v>640175</v>
      </c>
      <c r="Y217" s="40"/>
      <c r="Z217" s="40"/>
      <c r="AA217" s="904"/>
      <c r="AB217" s="904"/>
      <c r="AC217" s="904"/>
      <c r="AD217" s="904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</row>
    <row r="218" spans="1:87" s="268" customFormat="1" ht="66" customHeight="1">
      <c r="A218" s="982"/>
      <c r="B218" s="986"/>
      <c r="C218" s="986"/>
      <c r="D218" s="986"/>
      <c r="E218" s="986"/>
      <c r="F218" s="986"/>
      <c r="G218" s="986"/>
      <c r="H218" s="986"/>
      <c r="I218" s="1003"/>
      <c r="J218" s="986"/>
      <c r="K218" s="946"/>
      <c r="L218" s="986"/>
      <c r="M218" s="317" t="s">
        <v>288</v>
      </c>
      <c r="N218" s="318" t="s">
        <v>70</v>
      </c>
      <c r="O218" s="319">
        <v>2</v>
      </c>
      <c r="P218" s="319">
        <v>250000</v>
      </c>
      <c r="Q218" s="319"/>
      <c r="R218" s="321"/>
      <c r="S218" s="324">
        <v>500000</v>
      </c>
      <c r="T218" s="324"/>
      <c r="U218" s="40"/>
      <c r="V218" s="40"/>
      <c r="W218" s="40">
        <v>640175</v>
      </c>
      <c r="X218" s="40">
        <f>W218</f>
        <v>640175</v>
      </c>
      <c r="Y218" s="40"/>
      <c r="Z218" s="40"/>
      <c r="AA218" s="904"/>
      <c r="AB218" s="904"/>
      <c r="AC218" s="904"/>
      <c r="AD218" s="904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</row>
    <row r="219" spans="1:87" s="268" customFormat="1">
      <c r="A219" s="982"/>
      <c r="B219" s="986"/>
      <c r="C219" s="986"/>
      <c r="D219" s="986"/>
      <c r="E219" s="986"/>
      <c r="F219" s="986"/>
      <c r="G219" s="986"/>
      <c r="H219" s="986"/>
      <c r="I219" s="1003"/>
      <c r="J219" s="986"/>
      <c r="K219" s="946"/>
      <c r="L219" s="986"/>
      <c r="M219" s="305" t="s">
        <v>289</v>
      </c>
      <c r="N219" s="318"/>
      <c r="O219" s="319"/>
      <c r="P219" s="319"/>
      <c r="Q219" s="319"/>
      <c r="R219" s="321"/>
      <c r="S219" s="324"/>
      <c r="T219" s="324"/>
      <c r="U219" s="40"/>
      <c r="V219" s="40"/>
      <c r="W219" s="40"/>
      <c r="X219" s="40"/>
      <c r="Y219" s="328">
        <f>Y220+Y221</f>
        <v>4962675</v>
      </c>
      <c r="Z219" s="328">
        <f>Z220+Z221</f>
        <v>4962675</v>
      </c>
      <c r="AA219" s="904"/>
      <c r="AB219" s="904"/>
      <c r="AC219" s="904"/>
      <c r="AD219" s="904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</row>
    <row r="220" spans="1:87" s="268" customFormat="1" ht="121.5">
      <c r="A220" s="982"/>
      <c r="B220" s="986"/>
      <c r="C220" s="986"/>
      <c r="D220" s="986"/>
      <c r="E220" s="986"/>
      <c r="F220" s="986"/>
      <c r="G220" s="986"/>
      <c r="H220" s="986"/>
      <c r="I220" s="1003"/>
      <c r="J220" s="986"/>
      <c r="K220" s="946"/>
      <c r="L220" s="986"/>
      <c r="M220" s="317" t="s">
        <v>290</v>
      </c>
      <c r="N220" s="318" t="s">
        <v>70</v>
      </c>
      <c r="O220" s="319">
        <v>25</v>
      </c>
      <c r="P220" s="319">
        <v>25000</v>
      </c>
      <c r="Q220" s="320"/>
      <c r="R220" s="321"/>
      <c r="S220" s="324"/>
      <c r="T220" s="324">
        <v>625000</v>
      </c>
      <c r="U220" s="40"/>
      <c r="V220" s="40"/>
      <c r="W220" s="40"/>
      <c r="X220" s="40"/>
      <c r="Y220" s="40">
        <v>562675</v>
      </c>
      <c r="Z220" s="40">
        <f>Y220</f>
        <v>562675</v>
      </c>
      <c r="AA220" s="904"/>
      <c r="AB220" s="904"/>
      <c r="AC220" s="904"/>
      <c r="AD220" s="904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</row>
    <row r="221" spans="1:87" s="268" customFormat="1" ht="29.25">
      <c r="A221" s="982"/>
      <c r="B221" s="986"/>
      <c r="C221" s="986"/>
      <c r="D221" s="986"/>
      <c r="E221" s="986"/>
      <c r="F221" s="986"/>
      <c r="G221" s="986"/>
      <c r="H221" s="986"/>
      <c r="I221" s="1003"/>
      <c r="J221" s="986"/>
      <c r="K221" s="946"/>
      <c r="L221" s="986"/>
      <c r="M221" s="317" t="s">
        <v>291</v>
      </c>
      <c r="N221" s="318" t="s">
        <v>70</v>
      </c>
      <c r="O221" s="319">
        <v>2</v>
      </c>
      <c r="P221" s="319">
        <v>2200000</v>
      </c>
      <c r="Q221" s="320"/>
      <c r="R221" s="321"/>
      <c r="S221" s="324"/>
      <c r="T221" s="324">
        <v>4400000</v>
      </c>
      <c r="U221" s="40"/>
      <c r="V221" s="40"/>
      <c r="W221" s="40"/>
      <c r="X221" s="40"/>
      <c r="Y221" s="40">
        <v>4400000</v>
      </c>
      <c r="Z221" s="40">
        <f>Y221</f>
        <v>4400000</v>
      </c>
      <c r="AA221" s="904"/>
      <c r="AB221" s="904"/>
      <c r="AC221" s="904"/>
      <c r="AD221" s="904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</row>
    <row r="222" spans="1:87" s="268" customFormat="1">
      <c r="A222" s="1098" t="s">
        <v>292</v>
      </c>
      <c r="B222" s="1111"/>
      <c r="C222" s="946"/>
      <c r="D222" s="946"/>
      <c r="E222" s="946"/>
      <c r="F222" s="946"/>
      <c r="G222" s="946"/>
      <c r="H222" s="946"/>
      <c r="I222" s="1107" t="s">
        <v>293</v>
      </c>
      <c r="J222" s="1105">
        <v>1305440</v>
      </c>
      <c r="K222" s="1109">
        <v>865428</v>
      </c>
      <c r="L222" s="1110" t="s">
        <v>112</v>
      </c>
      <c r="M222" s="334"/>
      <c r="N222" s="335"/>
      <c r="O222" s="336"/>
      <c r="P222" s="336"/>
      <c r="Q222" s="336">
        <f>SUM(Q223:Q224,0)</f>
        <v>863000</v>
      </c>
      <c r="R222" s="337">
        <f>SUM(R223:R224,0)</f>
        <v>863000</v>
      </c>
      <c r="S222" s="337" t="e">
        <f>#REF!+S225+#REF!+#REF!+S226+S227+S228</f>
        <v>#REF!</v>
      </c>
      <c r="T222" s="337">
        <f>T229</f>
        <v>120000</v>
      </c>
      <c r="U222" s="328">
        <f t="shared" ref="U222:Z222" si="65">U223+U224+U225+U226+U227+U228+U229</f>
        <v>865428</v>
      </c>
      <c r="V222" s="328">
        <f t="shared" si="65"/>
        <v>865428</v>
      </c>
      <c r="W222" s="328">
        <f t="shared" si="65"/>
        <v>432714</v>
      </c>
      <c r="X222" s="328">
        <f t="shared" si="65"/>
        <v>432714</v>
      </c>
      <c r="Y222" s="328">
        <f t="shared" si="65"/>
        <v>432714</v>
      </c>
      <c r="Z222" s="328">
        <f t="shared" si="65"/>
        <v>432714</v>
      </c>
      <c r="AA222" s="904"/>
      <c r="AB222" s="904"/>
      <c r="AC222" s="904"/>
      <c r="AD222" s="904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</row>
    <row r="223" spans="1:87" s="268" customFormat="1" ht="40.5">
      <c r="A223" s="1003"/>
      <c r="B223" s="946"/>
      <c r="C223" s="946"/>
      <c r="D223" s="946"/>
      <c r="E223" s="946"/>
      <c r="F223" s="946"/>
      <c r="G223" s="946"/>
      <c r="H223" s="946"/>
      <c r="I223" s="1003"/>
      <c r="J223" s="986"/>
      <c r="K223" s="946"/>
      <c r="L223" s="946"/>
      <c r="M223" s="233" t="s">
        <v>294</v>
      </c>
      <c r="N223" s="338" t="s">
        <v>70</v>
      </c>
      <c r="O223" s="339">
        <v>2</v>
      </c>
      <c r="P223" s="340">
        <v>102000</v>
      </c>
      <c r="Q223" s="340">
        <f>ROUND(O223*P223,0)</f>
        <v>204000</v>
      </c>
      <c r="R223" s="341">
        <v>204000</v>
      </c>
      <c r="S223" s="342"/>
      <c r="T223" s="343"/>
      <c r="U223" s="40">
        <v>206428</v>
      </c>
      <c r="V223" s="40">
        <f>U223</f>
        <v>206428</v>
      </c>
      <c r="W223" s="40">
        <v>0</v>
      </c>
      <c r="X223" s="40">
        <f>W223</f>
        <v>0</v>
      </c>
      <c r="Y223" s="40">
        <v>0</v>
      </c>
      <c r="Z223" s="40">
        <f>Y223</f>
        <v>0</v>
      </c>
      <c r="AA223" s="904"/>
      <c r="AB223" s="904"/>
      <c r="AC223" s="904"/>
      <c r="AD223" s="904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</row>
    <row r="224" spans="1:87" s="268" customFormat="1" ht="36.75">
      <c r="A224" s="1003"/>
      <c r="B224" s="946"/>
      <c r="C224" s="946"/>
      <c r="D224" s="946"/>
      <c r="E224" s="946"/>
      <c r="F224" s="946"/>
      <c r="G224" s="946"/>
      <c r="H224" s="946"/>
      <c r="I224" s="1003"/>
      <c r="J224" s="986"/>
      <c r="K224" s="946"/>
      <c r="L224" s="946"/>
      <c r="M224" s="233" t="s">
        <v>295</v>
      </c>
      <c r="N224" s="338" t="s">
        <v>70</v>
      </c>
      <c r="O224" s="339">
        <v>1</v>
      </c>
      <c r="P224" s="340">
        <v>659000</v>
      </c>
      <c r="Q224" s="340">
        <f>ROUND(O224*P224,0)</f>
        <v>659000</v>
      </c>
      <c r="R224" s="341">
        <v>659000</v>
      </c>
      <c r="S224" s="342"/>
      <c r="T224" s="343"/>
      <c r="U224" s="40">
        <v>659000</v>
      </c>
      <c r="V224" s="40">
        <f t="shared" ref="V224:V229" si="66">U224</f>
        <v>659000</v>
      </c>
      <c r="W224" s="40">
        <v>0</v>
      </c>
      <c r="X224" s="40">
        <f t="shared" ref="X224:X229" si="67">W224</f>
        <v>0</v>
      </c>
      <c r="Y224" s="40">
        <v>0</v>
      </c>
      <c r="Z224" s="40">
        <f t="shared" ref="Z224:Z229" si="68">Y224</f>
        <v>0</v>
      </c>
      <c r="AA224" s="904"/>
      <c r="AB224" s="904"/>
      <c r="AC224" s="904"/>
      <c r="AD224" s="904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</row>
    <row r="225" spans="1:87" s="268" customFormat="1" ht="36.75">
      <c r="A225" s="1003"/>
      <c r="B225" s="946"/>
      <c r="C225" s="946"/>
      <c r="D225" s="946"/>
      <c r="E225" s="946"/>
      <c r="F225" s="946"/>
      <c r="G225" s="946"/>
      <c r="H225" s="946"/>
      <c r="I225" s="1003"/>
      <c r="J225" s="986"/>
      <c r="K225" s="946"/>
      <c r="L225" s="946"/>
      <c r="M225" s="233" t="s">
        <v>296</v>
      </c>
      <c r="N225" s="338" t="s">
        <v>70</v>
      </c>
      <c r="O225" s="339">
        <v>10</v>
      </c>
      <c r="P225" s="340">
        <v>4285</v>
      </c>
      <c r="Q225" s="340"/>
      <c r="R225" s="341"/>
      <c r="S225" s="342">
        <f>ROUND(P225*O225,0)</f>
        <v>42850</v>
      </c>
      <c r="T225" s="343"/>
      <c r="U225" s="40">
        <v>0</v>
      </c>
      <c r="V225" s="40">
        <f t="shared" si="66"/>
        <v>0</v>
      </c>
      <c r="W225" s="40">
        <v>0</v>
      </c>
      <c r="X225" s="40">
        <f t="shared" si="67"/>
        <v>0</v>
      </c>
      <c r="Y225" s="40">
        <v>32814</v>
      </c>
      <c r="Z225" s="40">
        <f t="shared" si="68"/>
        <v>32814</v>
      </c>
      <c r="AA225" s="904"/>
      <c r="AB225" s="904"/>
      <c r="AC225" s="904"/>
      <c r="AD225" s="904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</row>
    <row r="226" spans="1:87" s="268" customFormat="1" ht="40.5">
      <c r="A226" s="1003"/>
      <c r="B226" s="946"/>
      <c r="C226" s="946"/>
      <c r="D226" s="946"/>
      <c r="E226" s="946"/>
      <c r="F226" s="946"/>
      <c r="G226" s="946"/>
      <c r="H226" s="946"/>
      <c r="I226" s="1003"/>
      <c r="J226" s="986"/>
      <c r="K226" s="946"/>
      <c r="L226" s="946"/>
      <c r="M226" s="233" t="s">
        <v>297</v>
      </c>
      <c r="N226" s="338" t="s">
        <v>70</v>
      </c>
      <c r="O226" s="339">
        <v>1</v>
      </c>
      <c r="P226" s="340">
        <v>84900</v>
      </c>
      <c r="Q226" s="340"/>
      <c r="R226" s="341"/>
      <c r="S226" s="342">
        <f>ROUND(P226*O226,0)</f>
        <v>84900</v>
      </c>
      <c r="T226" s="343"/>
      <c r="U226" s="40">
        <v>0</v>
      </c>
      <c r="V226" s="40">
        <f t="shared" si="66"/>
        <v>0</v>
      </c>
      <c r="W226" s="40">
        <v>0</v>
      </c>
      <c r="X226" s="40">
        <f t="shared" si="67"/>
        <v>0</v>
      </c>
      <c r="Y226" s="40">
        <v>84900</v>
      </c>
      <c r="Z226" s="40">
        <f t="shared" si="68"/>
        <v>84900</v>
      </c>
      <c r="AA226" s="904"/>
      <c r="AB226" s="904"/>
      <c r="AC226" s="904"/>
      <c r="AD226" s="904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</row>
    <row r="227" spans="1:87" s="268" customFormat="1" ht="40.5">
      <c r="A227" s="1003"/>
      <c r="B227" s="946"/>
      <c r="C227" s="946"/>
      <c r="D227" s="946"/>
      <c r="E227" s="946"/>
      <c r="F227" s="946"/>
      <c r="G227" s="946"/>
      <c r="H227" s="946"/>
      <c r="I227" s="1003"/>
      <c r="J227" s="986"/>
      <c r="K227" s="946"/>
      <c r="L227" s="946"/>
      <c r="M227" s="233" t="s">
        <v>298</v>
      </c>
      <c r="N227" s="338" t="s">
        <v>70</v>
      </c>
      <c r="O227" s="339">
        <v>10</v>
      </c>
      <c r="P227" s="340">
        <v>45000</v>
      </c>
      <c r="Q227" s="340"/>
      <c r="R227" s="341"/>
      <c r="S227" s="342">
        <f>ROUND(P227*O227,0)</f>
        <v>450000</v>
      </c>
      <c r="T227" s="343"/>
      <c r="U227" s="40">
        <v>0</v>
      </c>
      <c r="V227" s="40">
        <f t="shared" si="66"/>
        <v>0</v>
      </c>
      <c r="W227" s="40">
        <v>432714</v>
      </c>
      <c r="X227" s="40">
        <f t="shared" si="67"/>
        <v>432714</v>
      </c>
      <c r="Y227" s="40">
        <v>0</v>
      </c>
      <c r="Z227" s="40">
        <f t="shared" si="68"/>
        <v>0</v>
      </c>
      <c r="AA227" s="904"/>
      <c r="AB227" s="904"/>
      <c r="AC227" s="904"/>
      <c r="AD227" s="904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</row>
    <row r="228" spans="1:87" s="268" customFormat="1" ht="31.5" customHeight="1">
      <c r="A228" s="1003"/>
      <c r="B228" s="946"/>
      <c r="C228" s="946"/>
      <c r="D228" s="946"/>
      <c r="E228" s="946"/>
      <c r="F228" s="946"/>
      <c r="G228" s="946"/>
      <c r="H228" s="946"/>
      <c r="I228" s="1003"/>
      <c r="J228" s="986"/>
      <c r="K228" s="946"/>
      <c r="L228" s="946"/>
      <c r="M228" s="233" t="s">
        <v>299</v>
      </c>
      <c r="N228" s="338" t="s">
        <v>70</v>
      </c>
      <c r="O228" s="339">
        <v>13</v>
      </c>
      <c r="P228" s="340">
        <v>15000</v>
      </c>
      <c r="Q228" s="340"/>
      <c r="R228" s="341"/>
      <c r="S228" s="342">
        <f>ROUND(P228*O228,0)</f>
        <v>195000</v>
      </c>
      <c r="T228" s="343"/>
      <c r="U228" s="40">
        <v>0</v>
      </c>
      <c r="V228" s="40">
        <f t="shared" si="66"/>
        <v>0</v>
      </c>
      <c r="W228" s="40">
        <v>0</v>
      </c>
      <c r="X228" s="40">
        <f t="shared" si="67"/>
        <v>0</v>
      </c>
      <c r="Y228" s="40">
        <v>195000</v>
      </c>
      <c r="Z228" s="40">
        <f t="shared" si="68"/>
        <v>195000</v>
      </c>
      <c r="AA228" s="904"/>
      <c r="AB228" s="904"/>
      <c r="AC228" s="904"/>
      <c r="AD228" s="904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</row>
    <row r="229" spans="1:87" s="268" customFormat="1" ht="60.75">
      <c r="A229" s="1003"/>
      <c r="B229" s="946"/>
      <c r="C229" s="946"/>
      <c r="D229" s="946"/>
      <c r="E229" s="946"/>
      <c r="F229" s="946"/>
      <c r="G229" s="946"/>
      <c r="H229" s="946"/>
      <c r="I229" s="1003"/>
      <c r="J229" s="986"/>
      <c r="K229" s="946"/>
      <c r="L229" s="946"/>
      <c r="M229" s="233" t="s">
        <v>300</v>
      </c>
      <c r="N229" s="338" t="s">
        <v>70</v>
      </c>
      <c r="O229" s="339">
        <v>1</v>
      </c>
      <c r="P229" s="340">
        <v>120000</v>
      </c>
      <c r="Q229" s="340"/>
      <c r="R229" s="341"/>
      <c r="S229" s="342"/>
      <c r="T229" s="343">
        <f>ROUND(O229*P229,0)</f>
        <v>120000</v>
      </c>
      <c r="U229" s="40">
        <v>0</v>
      </c>
      <c r="V229" s="40">
        <f t="shared" si="66"/>
        <v>0</v>
      </c>
      <c r="W229" s="40">
        <v>0</v>
      </c>
      <c r="X229" s="40">
        <f t="shared" si="67"/>
        <v>0</v>
      </c>
      <c r="Y229" s="40">
        <v>120000</v>
      </c>
      <c r="Z229" s="40">
        <f t="shared" si="68"/>
        <v>120000</v>
      </c>
      <c r="AA229" s="904"/>
      <c r="AB229" s="904"/>
      <c r="AC229" s="904"/>
      <c r="AD229" s="904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</row>
    <row r="230" spans="1:87" s="268" customFormat="1" ht="33">
      <c r="A230" s="1098" t="s">
        <v>301</v>
      </c>
      <c r="B230" s="1111"/>
      <c r="C230" s="1111"/>
      <c r="D230" s="1111"/>
      <c r="E230" s="1111"/>
      <c r="F230" s="1111"/>
      <c r="G230" s="1111"/>
      <c r="H230" s="1111"/>
      <c r="I230" s="1112" t="s">
        <v>302</v>
      </c>
      <c r="J230" s="1113">
        <v>2491167.2000000002</v>
      </c>
      <c r="K230" s="1113">
        <v>4550502</v>
      </c>
      <c r="L230" s="1110" t="s">
        <v>112</v>
      </c>
      <c r="M230" s="344"/>
      <c r="N230" s="335" t="s">
        <v>303</v>
      </c>
      <c r="O230" s="345">
        <f>SUM(O231:O271)</f>
        <v>112</v>
      </c>
      <c r="P230" s="346">
        <v>167175</v>
      </c>
      <c r="Q230" s="345">
        <f t="shared" ref="Q230:Z230" si="69">SUM(Q231:Q271)</f>
        <v>19001750</v>
      </c>
      <c r="R230" s="347">
        <f t="shared" si="69"/>
        <v>17777850</v>
      </c>
      <c r="S230" s="347">
        <f t="shared" si="69"/>
        <v>1141500</v>
      </c>
      <c r="T230" s="347">
        <f t="shared" si="69"/>
        <v>0</v>
      </c>
      <c r="U230" s="345">
        <f t="shared" si="69"/>
        <v>4550502</v>
      </c>
      <c r="V230" s="345">
        <f t="shared" si="69"/>
        <v>4550502</v>
      </c>
      <c r="W230" s="345">
        <f t="shared" si="69"/>
        <v>2275251</v>
      </c>
      <c r="X230" s="345">
        <f t="shared" si="69"/>
        <v>2275251</v>
      </c>
      <c r="Y230" s="345">
        <f t="shared" si="69"/>
        <v>2275251</v>
      </c>
      <c r="Z230" s="345">
        <f t="shared" si="69"/>
        <v>2275251</v>
      </c>
      <c r="AA230" s="904"/>
      <c r="AB230" s="904"/>
      <c r="AC230" s="904"/>
      <c r="AD230" s="904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</row>
    <row r="231" spans="1:87" s="268" customFormat="1" ht="81.75" customHeight="1">
      <c r="A231" s="1098"/>
      <c r="B231" s="1111"/>
      <c r="C231" s="1111"/>
      <c r="D231" s="1111"/>
      <c r="E231" s="1111"/>
      <c r="F231" s="1111"/>
      <c r="G231" s="1111"/>
      <c r="H231" s="1111"/>
      <c r="I231" s="1112"/>
      <c r="J231" s="1113"/>
      <c r="K231" s="1113"/>
      <c r="L231" s="1110"/>
      <c r="M231" s="233" t="s">
        <v>304</v>
      </c>
      <c r="N231" s="348" t="s">
        <v>70</v>
      </c>
      <c r="O231" s="349">
        <v>1</v>
      </c>
      <c r="P231" s="349">
        <v>324750</v>
      </c>
      <c r="Q231" s="349">
        <v>324750</v>
      </c>
      <c r="R231" s="350">
        <f>ROUND(O231*P231,0)</f>
        <v>324750</v>
      </c>
      <c r="S231" s="347"/>
      <c r="T231" s="347"/>
      <c r="U231" s="345">
        <v>700000</v>
      </c>
      <c r="V231" s="345">
        <f>U231</f>
        <v>700000</v>
      </c>
      <c r="W231" s="40">
        <v>0</v>
      </c>
      <c r="X231" s="40">
        <f>W231</f>
        <v>0</v>
      </c>
      <c r="Y231" s="40">
        <v>0</v>
      </c>
      <c r="Z231" s="40">
        <f>Y231</f>
        <v>0</v>
      </c>
      <c r="AA231" s="904"/>
      <c r="AB231" s="904"/>
      <c r="AC231" s="904"/>
      <c r="AD231" s="904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</row>
    <row r="232" spans="1:87" s="268" customFormat="1" ht="47.25" customHeight="1">
      <c r="A232" s="1098"/>
      <c r="B232" s="1111"/>
      <c r="C232" s="1111"/>
      <c r="D232" s="1111"/>
      <c r="E232" s="1111"/>
      <c r="F232" s="1111"/>
      <c r="G232" s="1111"/>
      <c r="H232" s="1111"/>
      <c r="I232" s="1112"/>
      <c r="J232" s="946"/>
      <c r="K232" s="946"/>
      <c r="L232" s="1110"/>
      <c r="M232" s="233" t="s">
        <v>305</v>
      </c>
      <c r="N232" s="348" t="s">
        <v>70</v>
      </c>
      <c r="O232" s="349">
        <v>20</v>
      </c>
      <c r="P232" s="349">
        <v>17280</v>
      </c>
      <c r="Q232" s="349">
        <f>ROUND(O232*P232,0)</f>
        <v>345600</v>
      </c>
      <c r="R232" s="350">
        <v>259200</v>
      </c>
      <c r="S232" s="347"/>
      <c r="T232" s="347"/>
      <c r="U232" s="345">
        <v>80000</v>
      </c>
      <c r="V232" s="345">
        <f t="shared" ref="V232:V271" si="70">U232</f>
        <v>80000</v>
      </c>
      <c r="W232" s="40">
        <v>0</v>
      </c>
      <c r="X232" s="40">
        <f t="shared" ref="X232:X271" si="71">W232</f>
        <v>0</v>
      </c>
      <c r="Y232" s="40">
        <v>0</v>
      </c>
      <c r="Z232" s="40">
        <f t="shared" ref="Z232:Z271" si="72">Y232</f>
        <v>0</v>
      </c>
      <c r="AA232" s="904"/>
      <c r="AB232" s="904"/>
      <c r="AC232" s="904"/>
      <c r="AD232" s="904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</row>
    <row r="233" spans="1:87" s="268" customFormat="1" ht="30" customHeight="1">
      <c r="A233" s="1098"/>
      <c r="B233" s="1111"/>
      <c r="C233" s="1111"/>
      <c r="D233" s="1111"/>
      <c r="E233" s="1111"/>
      <c r="F233" s="1111"/>
      <c r="G233" s="1111"/>
      <c r="H233" s="1111"/>
      <c r="I233" s="1112"/>
      <c r="J233" s="946"/>
      <c r="K233" s="946"/>
      <c r="L233" s="1110"/>
      <c r="M233" s="233" t="s">
        <v>306</v>
      </c>
      <c r="N233" s="351"/>
      <c r="O233" s="349">
        <v>7</v>
      </c>
      <c r="P233" s="349">
        <v>55000</v>
      </c>
      <c r="Q233" s="349">
        <f t="shared" ref="Q233:Q254" si="73">ROUND(O233*P233,0)</f>
        <v>385000</v>
      </c>
      <c r="R233" s="350">
        <f t="shared" ref="R233:R254" si="74">ROUND(O233*P233,0)</f>
        <v>385000</v>
      </c>
      <c r="S233" s="347"/>
      <c r="T233" s="347"/>
      <c r="U233" s="345">
        <v>32000</v>
      </c>
      <c r="V233" s="345">
        <f t="shared" si="70"/>
        <v>32000</v>
      </c>
      <c r="W233" s="40">
        <v>385000</v>
      </c>
      <c r="X233" s="40">
        <f t="shared" si="71"/>
        <v>385000</v>
      </c>
      <c r="Y233" s="40">
        <v>385000</v>
      </c>
      <c r="Z233" s="40">
        <f t="shared" si="72"/>
        <v>385000</v>
      </c>
      <c r="AA233" s="904"/>
      <c r="AB233" s="904"/>
      <c r="AC233" s="904"/>
      <c r="AD233" s="904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</row>
    <row r="234" spans="1:87" s="268" customFormat="1" ht="69" customHeight="1">
      <c r="A234" s="1098"/>
      <c r="B234" s="1111"/>
      <c r="C234" s="1111"/>
      <c r="D234" s="1111"/>
      <c r="E234" s="1111"/>
      <c r="F234" s="1111"/>
      <c r="G234" s="1111"/>
      <c r="H234" s="1111"/>
      <c r="I234" s="1112"/>
      <c r="J234" s="946"/>
      <c r="K234" s="946"/>
      <c r="L234" s="1110"/>
      <c r="M234" s="233" t="s">
        <v>307</v>
      </c>
      <c r="N234" s="351"/>
      <c r="O234" s="349">
        <v>1</v>
      </c>
      <c r="P234" s="349">
        <v>59000</v>
      </c>
      <c r="Q234" s="349">
        <f t="shared" si="73"/>
        <v>59000</v>
      </c>
      <c r="R234" s="350">
        <f t="shared" si="74"/>
        <v>59000</v>
      </c>
      <c r="S234" s="347"/>
      <c r="T234" s="347"/>
      <c r="U234" s="345">
        <v>32000</v>
      </c>
      <c r="V234" s="345">
        <f t="shared" si="70"/>
        <v>32000</v>
      </c>
      <c r="W234" s="40">
        <v>59000</v>
      </c>
      <c r="X234" s="40">
        <f t="shared" si="71"/>
        <v>59000</v>
      </c>
      <c r="Y234" s="40">
        <v>59000</v>
      </c>
      <c r="Z234" s="40">
        <f t="shared" si="72"/>
        <v>59000</v>
      </c>
      <c r="AA234" s="904"/>
      <c r="AB234" s="904"/>
      <c r="AC234" s="904"/>
      <c r="AD234" s="904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</row>
    <row r="235" spans="1:87" s="268" customFormat="1" ht="64.5" customHeight="1">
      <c r="A235" s="1098"/>
      <c r="B235" s="1111"/>
      <c r="C235" s="1111"/>
      <c r="D235" s="1111"/>
      <c r="E235" s="1111"/>
      <c r="F235" s="1111"/>
      <c r="G235" s="1111"/>
      <c r="H235" s="1111"/>
      <c r="I235" s="1112"/>
      <c r="J235" s="946"/>
      <c r="K235" s="946"/>
      <c r="L235" s="1110"/>
      <c r="M235" s="233" t="s">
        <v>308</v>
      </c>
      <c r="N235" s="351"/>
      <c r="O235" s="349">
        <v>1</v>
      </c>
      <c r="P235" s="349">
        <v>99900</v>
      </c>
      <c r="Q235" s="349">
        <f t="shared" si="73"/>
        <v>99900</v>
      </c>
      <c r="R235" s="350">
        <f t="shared" si="74"/>
        <v>99900</v>
      </c>
      <c r="S235" s="347"/>
      <c r="T235" s="347"/>
      <c r="U235" s="345">
        <v>240000</v>
      </c>
      <c r="V235" s="345">
        <f t="shared" si="70"/>
        <v>240000</v>
      </c>
      <c r="W235" s="40">
        <v>0</v>
      </c>
      <c r="X235" s="40">
        <f t="shared" si="71"/>
        <v>0</v>
      </c>
      <c r="Y235" s="40">
        <v>0</v>
      </c>
      <c r="Z235" s="40">
        <f t="shared" si="72"/>
        <v>0</v>
      </c>
      <c r="AA235" s="904"/>
      <c r="AB235" s="904"/>
      <c r="AC235" s="904"/>
      <c r="AD235" s="904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</row>
    <row r="236" spans="1:87" s="268" customFormat="1" ht="65.25" customHeight="1">
      <c r="A236" s="1098"/>
      <c r="B236" s="1111"/>
      <c r="C236" s="1111"/>
      <c r="D236" s="1111"/>
      <c r="E236" s="1111"/>
      <c r="F236" s="1111"/>
      <c r="G236" s="1111"/>
      <c r="H236" s="1111"/>
      <c r="I236" s="1112"/>
      <c r="J236" s="946"/>
      <c r="K236" s="946"/>
      <c r="L236" s="1110"/>
      <c r="M236" s="233" t="s">
        <v>309</v>
      </c>
      <c r="N236" s="351"/>
      <c r="O236" s="349">
        <v>1</v>
      </c>
      <c r="P236" s="349">
        <v>150000</v>
      </c>
      <c r="Q236" s="349">
        <f t="shared" si="73"/>
        <v>150000</v>
      </c>
      <c r="R236" s="350">
        <f t="shared" si="74"/>
        <v>150000</v>
      </c>
      <c r="S236" s="347"/>
      <c r="T236" s="347"/>
      <c r="U236" s="345">
        <v>320000</v>
      </c>
      <c r="V236" s="345">
        <f t="shared" si="70"/>
        <v>320000</v>
      </c>
      <c r="W236" s="40">
        <v>0</v>
      </c>
      <c r="X236" s="40">
        <f t="shared" si="71"/>
        <v>0</v>
      </c>
      <c r="Y236" s="40">
        <v>0</v>
      </c>
      <c r="Z236" s="40">
        <f t="shared" si="72"/>
        <v>0</v>
      </c>
      <c r="AA236" s="904"/>
      <c r="AB236" s="904"/>
      <c r="AC236" s="904"/>
      <c r="AD236" s="904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</row>
    <row r="237" spans="1:87" s="268" customFormat="1" ht="44.25" customHeight="1">
      <c r="A237" s="1098"/>
      <c r="B237" s="1111"/>
      <c r="C237" s="1111"/>
      <c r="D237" s="1111"/>
      <c r="E237" s="1111"/>
      <c r="F237" s="1111"/>
      <c r="G237" s="1111"/>
      <c r="H237" s="1111"/>
      <c r="I237" s="1112"/>
      <c r="J237" s="946"/>
      <c r="K237" s="946"/>
      <c r="L237" s="1110"/>
      <c r="M237" s="233" t="s">
        <v>310</v>
      </c>
      <c r="N237" s="351"/>
      <c r="O237" s="349">
        <v>1</v>
      </c>
      <c r="P237" s="349">
        <v>120000</v>
      </c>
      <c r="Q237" s="349">
        <f t="shared" si="73"/>
        <v>120000</v>
      </c>
      <c r="R237" s="350">
        <f t="shared" si="74"/>
        <v>120000</v>
      </c>
      <c r="S237" s="347"/>
      <c r="T237" s="347"/>
      <c r="U237" s="345">
        <v>40000</v>
      </c>
      <c r="V237" s="345">
        <f t="shared" si="70"/>
        <v>40000</v>
      </c>
      <c r="W237" s="40">
        <v>0</v>
      </c>
      <c r="X237" s="40">
        <f t="shared" si="71"/>
        <v>0</v>
      </c>
      <c r="Y237" s="40">
        <v>0</v>
      </c>
      <c r="Z237" s="40">
        <f t="shared" si="72"/>
        <v>0</v>
      </c>
      <c r="AA237" s="904"/>
      <c r="AB237" s="904"/>
      <c r="AC237" s="904"/>
      <c r="AD237" s="904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</row>
    <row r="238" spans="1:87" s="268" customFormat="1" ht="48" customHeight="1">
      <c r="A238" s="1098"/>
      <c r="B238" s="1111"/>
      <c r="C238" s="1111"/>
      <c r="D238" s="1111"/>
      <c r="E238" s="1111"/>
      <c r="F238" s="1111"/>
      <c r="G238" s="1111"/>
      <c r="H238" s="1111"/>
      <c r="I238" s="1112"/>
      <c r="J238" s="946"/>
      <c r="K238" s="946"/>
      <c r="L238" s="1110"/>
      <c r="M238" s="233" t="s">
        <v>311</v>
      </c>
      <c r="N238" s="351"/>
      <c r="O238" s="349">
        <v>2</v>
      </c>
      <c r="P238" s="349">
        <v>3000</v>
      </c>
      <c r="Q238" s="349">
        <f t="shared" si="73"/>
        <v>6000</v>
      </c>
      <c r="R238" s="350">
        <f t="shared" si="74"/>
        <v>6000</v>
      </c>
      <c r="S238" s="347"/>
      <c r="T238" s="347"/>
      <c r="U238" s="345">
        <v>50000</v>
      </c>
      <c r="V238" s="345">
        <f t="shared" si="70"/>
        <v>50000</v>
      </c>
      <c r="W238" s="40">
        <v>0</v>
      </c>
      <c r="X238" s="40">
        <f t="shared" si="71"/>
        <v>0</v>
      </c>
      <c r="Y238" s="40">
        <v>0</v>
      </c>
      <c r="Z238" s="40">
        <f t="shared" si="72"/>
        <v>0</v>
      </c>
      <c r="AA238" s="904"/>
      <c r="AB238" s="904"/>
      <c r="AC238" s="904"/>
      <c r="AD238" s="90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</row>
    <row r="239" spans="1:87" s="268" customFormat="1" ht="65.25" customHeight="1">
      <c r="A239" s="1098"/>
      <c r="B239" s="1111"/>
      <c r="C239" s="1111"/>
      <c r="D239" s="1111"/>
      <c r="E239" s="1111"/>
      <c r="F239" s="1111"/>
      <c r="G239" s="1111"/>
      <c r="H239" s="1111"/>
      <c r="I239" s="1112"/>
      <c r="J239" s="946"/>
      <c r="K239" s="946"/>
      <c r="L239" s="1110"/>
      <c r="M239" s="233" t="s">
        <v>312</v>
      </c>
      <c r="N239" s="351"/>
      <c r="O239" s="349">
        <v>6</v>
      </c>
      <c r="P239" s="349">
        <v>16500</v>
      </c>
      <c r="Q239" s="349">
        <f t="shared" si="73"/>
        <v>99000</v>
      </c>
      <c r="R239" s="350">
        <f t="shared" si="74"/>
        <v>99000</v>
      </c>
      <c r="S239" s="347"/>
      <c r="T239" s="347"/>
      <c r="U239" s="345">
        <v>60000</v>
      </c>
      <c r="V239" s="345">
        <f t="shared" si="70"/>
        <v>60000</v>
      </c>
      <c r="W239" s="40">
        <v>0</v>
      </c>
      <c r="X239" s="40">
        <f t="shared" si="71"/>
        <v>0</v>
      </c>
      <c r="Y239" s="40">
        <v>0</v>
      </c>
      <c r="Z239" s="40">
        <f t="shared" si="72"/>
        <v>0</v>
      </c>
      <c r="AA239" s="904"/>
      <c r="AB239" s="904"/>
      <c r="AC239" s="904"/>
      <c r="AD239" s="90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</row>
    <row r="240" spans="1:87" s="268" customFormat="1" ht="44.25" customHeight="1">
      <c r="A240" s="1098"/>
      <c r="B240" s="1111"/>
      <c r="C240" s="1111"/>
      <c r="D240" s="1111"/>
      <c r="E240" s="1111"/>
      <c r="F240" s="1111"/>
      <c r="G240" s="1111"/>
      <c r="H240" s="1111"/>
      <c r="I240" s="1112"/>
      <c r="J240" s="946"/>
      <c r="K240" s="946"/>
      <c r="L240" s="1110"/>
      <c r="M240" s="233" t="s">
        <v>313</v>
      </c>
      <c r="N240" s="351"/>
      <c r="O240" s="349">
        <v>2</v>
      </c>
      <c r="P240" s="349">
        <v>4000</v>
      </c>
      <c r="Q240" s="349">
        <f t="shared" si="73"/>
        <v>8000</v>
      </c>
      <c r="R240" s="350">
        <f t="shared" si="74"/>
        <v>8000</v>
      </c>
      <c r="S240" s="347"/>
      <c r="T240" s="347"/>
      <c r="U240" s="345">
        <v>180000</v>
      </c>
      <c r="V240" s="345">
        <f t="shared" si="70"/>
        <v>180000</v>
      </c>
      <c r="W240" s="40">
        <v>0</v>
      </c>
      <c r="X240" s="40">
        <f t="shared" si="71"/>
        <v>0</v>
      </c>
      <c r="Y240" s="40">
        <v>0</v>
      </c>
      <c r="Z240" s="40">
        <f t="shared" si="72"/>
        <v>0</v>
      </c>
      <c r="AA240" s="904"/>
      <c r="AB240" s="904"/>
      <c r="AC240" s="904"/>
      <c r="AD240" s="90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</row>
    <row r="241" spans="1:87" s="268" customFormat="1" ht="66" customHeight="1">
      <c r="A241" s="1098"/>
      <c r="B241" s="1111"/>
      <c r="C241" s="1111"/>
      <c r="D241" s="1111"/>
      <c r="E241" s="1111"/>
      <c r="F241" s="1111"/>
      <c r="G241" s="1111"/>
      <c r="H241" s="1111"/>
      <c r="I241" s="1112"/>
      <c r="J241" s="946"/>
      <c r="K241" s="946"/>
      <c r="L241" s="1110"/>
      <c r="M241" s="233" t="s">
        <v>314</v>
      </c>
      <c r="N241" s="351"/>
      <c r="O241" s="349">
        <v>1</v>
      </c>
      <c r="P241" s="349">
        <v>13000</v>
      </c>
      <c r="Q241" s="349">
        <f t="shared" si="73"/>
        <v>13000</v>
      </c>
      <c r="R241" s="350">
        <f t="shared" si="74"/>
        <v>13000</v>
      </c>
      <c r="S241" s="347"/>
      <c r="T241" s="347"/>
      <c r="U241" s="345">
        <v>350000</v>
      </c>
      <c r="V241" s="345">
        <f t="shared" si="70"/>
        <v>350000</v>
      </c>
      <c r="W241" s="40">
        <v>0</v>
      </c>
      <c r="X241" s="40">
        <f t="shared" si="71"/>
        <v>0</v>
      </c>
      <c r="Y241" s="40">
        <v>0</v>
      </c>
      <c r="Z241" s="40">
        <f t="shared" si="72"/>
        <v>0</v>
      </c>
      <c r="AA241" s="904"/>
      <c r="AB241" s="904"/>
      <c r="AC241" s="904"/>
      <c r="AD241" s="90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</row>
    <row r="242" spans="1:87" s="268" customFormat="1" ht="409.5" customHeight="1">
      <c r="A242" s="1098"/>
      <c r="B242" s="1111"/>
      <c r="C242" s="1111"/>
      <c r="D242" s="1111"/>
      <c r="E242" s="1111"/>
      <c r="F242" s="1111"/>
      <c r="G242" s="1111"/>
      <c r="H242" s="1111"/>
      <c r="I242" s="1112"/>
      <c r="J242" s="946"/>
      <c r="K242" s="946"/>
      <c r="L242" s="1110"/>
      <c r="M242" s="233" t="s">
        <v>315</v>
      </c>
      <c r="N242" s="351"/>
      <c r="O242" s="349">
        <v>4</v>
      </c>
      <c r="P242" s="349">
        <v>2000</v>
      </c>
      <c r="Q242" s="349">
        <f t="shared" si="73"/>
        <v>8000</v>
      </c>
      <c r="R242" s="350">
        <f t="shared" si="74"/>
        <v>8000</v>
      </c>
      <c r="S242" s="347"/>
      <c r="T242" s="347"/>
      <c r="U242" s="345">
        <v>454502</v>
      </c>
      <c r="V242" s="345">
        <f t="shared" si="70"/>
        <v>454502</v>
      </c>
      <c r="W242" s="40">
        <v>0</v>
      </c>
      <c r="X242" s="40">
        <f t="shared" si="71"/>
        <v>0</v>
      </c>
      <c r="Y242" s="40">
        <v>0</v>
      </c>
      <c r="Z242" s="40">
        <f t="shared" si="72"/>
        <v>0</v>
      </c>
      <c r="AA242" s="904"/>
      <c r="AB242" s="904"/>
      <c r="AC242" s="904"/>
      <c r="AD242" s="90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</row>
    <row r="243" spans="1:87" s="268" customFormat="1" ht="87.75" customHeight="1">
      <c r="A243" s="1098"/>
      <c r="B243" s="1111"/>
      <c r="C243" s="1111"/>
      <c r="D243" s="1111"/>
      <c r="E243" s="1111"/>
      <c r="F243" s="1111"/>
      <c r="G243" s="1111"/>
      <c r="H243" s="1111"/>
      <c r="I243" s="1112"/>
      <c r="J243" s="946"/>
      <c r="K243" s="946"/>
      <c r="L243" s="1110"/>
      <c r="M243" s="233" t="s">
        <v>316</v>
      </c>
      <c r="N243" s="351"/>
      <c r="O243" s="349">
        <v>4</v>
      </c>
      <c r="P243" s="349">
        <v>4000</v>
      </c>
      <c r="Q243" s="349">
        <f t="shared" si="73"/>
        <v>16000</v>
      </c>
      <c r="R243" s="350">
        <f t="shared" si="74"/>
        <v>16000</v>
      </c>
      <c r="S243" s="347"/>
      <c r="T243" s="347"/>
      <c r="U243" s="345">
        <v>120000</v>
      </c>
      <c r="V243" s="345">
        <f t="shared" si="70"/>
        <v>120000</v>
      </c>
      <c r="W243" s="40">
        <v>0</v>
      </c>
      <c r="X243" s="40">
        <f t="shared" si="71"/>
        <v>0</v>
      </c>
      <c r="Y243" s="40">
        <v>0</v>
      </c>
      <c r="Z243" s="40">
        <f t="shared" si="72"/>
        <v>0</v>
      </c>
      <c r="AA243" s="904"/>
      <c r="AB243" s="904"/>
      <c r="AC243" s="904"/>
      <c r="AD243" s="90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</row>
    <row r="244" spans="1:87" s="268" customFormat="1" ht="177" customHeight="1">
      <c r="A244" s="1098"/>
      <c r="B244" s="1111"/>
      <c r="C244" s="1111"/>
      <c r="D244" s="1111"/>
      <c r="E244" s="1111"/>
      <c r="F244" s="1111"/>
      <c r="G244" s="1111"/>
      <c r="H244" s="1111"/>
      <c r="I244" s="1112"/>
      <c r="J244" s="946"/>
      <c r="K244" s="946"/>
      <c r="L244" s="1110"/>
      <c r="M244" s="233" t="s">
        <v>317</v>
      </c>
      <c r="N244" s="351"/>
      <c r="O244" s="349">
        <v>1</v>
      </c>
      <c r="P244" s="349">
        <v>58000</v>
      </c>
      <c r="Q244" s="349">
        <f t="shared" si="73"/>
        <v>58000</v>
      </c>
      <c r="R244" s="350">
        <f t="shared" si="74"/>
        <v>58000</v>
      </c>
      <c r="S244" s="347"/>
      <c r="T244" s="347"/>
      <c r="U244" s="345">
        <v>190000</v>
      </c>
      <c r="V244" s="345">
        <f t="shared" si="70"/>
        <v>190000</v>
      </c>
      <c r="W244" s="40">
        <v>0</v>
      </c>
      <c r="X244" s="40">
        <f t="shared" si="71"/>
        <v>0</v>
      </c>
      <c r="Y244" s="40">
        <v>0</v>
      </c>
      <c r="Z244" s="40">
        <f t="shared" si="72"/>
        <v>0</v>
      </c>
      <c r="AA244" s="904"/>
      <c r="AB244" s="904"/>
      <c r="AC244" s="904"/>
      <c r="AD244" s="90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</row>
    <row r="245" spans="1:87" s="268" customFormat="1" ht="68.25" customHeight="1">
      <c r="A245" s="1098"/>
      <c r="B245" s="1111"/>
      <c r="C245" s="1111"/>
      <c r="D245" s="1111"/>
      <c r="E245" s="1111"/>
      <c r="F245" s="1111"/>
      <c r="G245" s="1111"/>
      <c r="H245" s="1111"/>
      <c r="I245" s="1112"/>
      <c r="J245" s="946"/>
      <c r="K245" s="946"/>
      <c r="L245" s="1110"/>
      <c r="M245" s="233" t="s">
        <v>318</v>
      </c>
      <c r="N245" s="351"/>
      <c r="O245" s="349">
        <v>1</v>
      </c>
      <c r="P245" s="349">
        <v>36500</v>
      </c>
      <c r="Q245" s="349">
        <f t="shared" si="73"/>
        <v>36500</v>
      </c>
      <c r="R245" s="350">
        <f t="shared" si="74"/>
        <v>36500</v>
      </c>
      <c r="S245" s="347"/>
      <c r="T245" s="347"/>
      <c r="U245" s="345">
        <v>180000</v>
      </c>
      <c r="V245" s="345">
        <f t="shared" si="70"/>
        <v>180000</v>
      </c>
      <c r="W245" s="40">
        <v>0</v>
      </c>
      <c r="X245" s="40">
        <f t="shared" si="71"/>
        <v>0</v>
      </c>
      <c r="Y245" s="40">
        <v>0</v>
      </c>
      <c r="Z245" s="40">
        <f t="shared" si="72"/>
        <v>0</v>
      </c>
      <c r="AA245" s="904"/>
      <c r="AB245" s="904"/>
      <c r="AC245" s="904"/>
      <c r="AD245" s="90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</row>
    <row r="246" spans="1:87" s="268" customFormat="1" ht="43.5" customHeight="1">
      <c r="A246" s="1098"/>
      <c r="B246" s="1111"/>
      <c r="C246" s="1111"/>
      <c r="D246" s="1111"/>
      <c r="E246" s="1111"/>
      <c r="F246" s="1111"/>
      <c r="G246" s="1111"/>
      <c r="H246" s="1111"/>
      <c r="I246" s="1112"/>
      <c r="J246" s="946"/>
      <c r="K246" s="946"/>
      <c r="L246" s="1110"/>
      <c r="M246" s="233" t="s">
        <v>319</v>
      </c>
      <c r="N246" s="351"/>
      <c r="O246" s="349">
        <v>1</v>
      </c>
      <c r="P246" s="349">
        <v>9500</v>
      </c>
      <c r="Q246" s="349">
        <f t="shared" si="73"/>
        <v>9500</v>
      </c>
      <c r="R246" s="350">
        <f t="shared" si="74"/>
        <v>9500</v>
      </c>
      <c r="S246" s="347"/>
      <c r="T246" s="347"/>
      <c r="U246" s="345">
        <v>36000</v>
      </c>
      <c r="V246" s="345">
        <f t="shared" si="70"/>
        <v>36000</v>
      </c>
      <c r="W246" s="40">
        <v>0</v>
      </c>
      <c r="X246" s="40">
        <f t="shared" si="71"/>
        <v>0</v>
      </c>
      <c r="Y246" s="40">
        <v>0</v>
      </c>
      <c r="Z246" s="40">
        <f t="shared" si="72"/>
        <v>0</v>
      </c>
      <c r="AA246" s="904"/>
      <c r="AB246" s="904"/>
      <c r="AC246" s="904"/>
      <c r="AD246" s="90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</row>
    <row r="247" spans="1:87" s="268" customFormat="1" ht="89.25" customHeight="1">
      <c r="A247" s="1098"/>
      <c r="B247" s="1111"/>
      <c r="C247" s="1111"/>
      <c r="D247" s="1111"/>
      <c r="E247" s="1111"/>
      <c r="F247" s="1111"/>
      <c r="G247" s="1111"/>
      <c r="H247" s="1111"/>
      <c r="I247" s="1112"/>
      <c r="J247" s="946"/>
      <c r="K247" s="946"/>
      <c r="L247" s="1110"/>
      <c r="M247" s="233" t="s">
        <v>320</v>
      </c>
      <c r="N247" s="351"/>
      <c r="O247" s="349">
        <v>1</v>
      </c>
      <c r="P247" s="349">
        <v>105000</v>
      </c>
      <c r="Q247" s="349">
        <f t="shared" si="73"/>
        <v>105000</v>
      </c>
      <c r="R247" s="350">
        <f t="shared" si="74"/>
        <v>105000</v>
      </c>
      <c r="S247" s="347"/>
      <c r="T247" s="347"/>
      <c r="U247" s="345">
        <v>1000000</v>
      </c>
      <c r="V247" s="345">
        <f t="shared" si="70"/>
        <v>1000000</v>
      </c>
      <c r="W247" s="40">
        <v>0</v>
      </c>
      <c r="X247" s="40">
        <f t="shared" si="71"/>
        <v>0</v>
      </c>
      <c r="Y247" s="40">
        <v>0</v>
      </c>
      <c r="Z247" s="40">
        <f t="shared" si="72"/>
        <v>0</v>
      </c>
      <c r="AA247" s="904"/>
      <c r="AB247" s="904"/>
      <c r="AC247" s="904"/>
      <c r="AD247" s="90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</row>
    <row r="248" spans="1:87" s="268" customFormat="1" ht="66" customHeight="1">
      <c r="A248" s="1098"/>
      <c r="B248" s="1111"/>
      <c r="C248" s="1111"/>
      <c r="D248" s="1111"/>
      <c r="E248" s="1111"/>
      <c r="F248" s="1111"/>
      <c r="G248" s="1111"/>
      <c r="H248" s="1111"/>
      <c r="I248" s="1112"/>
      <c r="J248" s="946"/>
      <c r="K248" s="946"/>
      <c r="L248" s="1110"/>
      <c r="M248" s="352" t="s">
        <v>321</v>
      </c>
      <c r="N248" s="351"/>
      <c r="O248" s="349">
        <v>1</v>
      </c>
      <c r="P248" s="349">
        <v>300000</v>
      </c>
      <c r="Q248" s="349">
        <f t="shared" si="73"/>
        <v>300000</v>
      </c>
      <c r="R248" s="350">
        <f t="shared" si="74"/>
        <v>300000</v>
      </c>
      <c r="S248" s="347"/>
      <c r="T248" s="347"/>
      <c r="U248" s="345">
        <v>55000</v>
      </c>
      <c r="V248" s="345">
        <f t="shared" si="70"/>
        <v>55000</v>
      </c>
      <c r="W248" s="40">
        <v>0</v>
      </c>
      <c r="X248" s="40">
        <f t="shared" si="71"/>
        <v>0</v>
      </c>
      <c r="Y248" s="40">
        <v>0</v>
      </c>
      <c r="Z248" s="40">
        <f t="shared" si="72"/>
        <v>0</v>
      </c>
      <c r="AA248" s="904"/>
      <c r="AB248" s="904"/>
      <c r="AC248" s="904"/>
      <c r="AD248" s="90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</row>
    <row r="249" spans="1:87" s="268" customFormat="1">
      <c r="A249" s="1098"/>
      <c r="B249" s="1111"/>
      <c r="C249" s="1111"/>
      <c r="D249" s="1111"/>
      <c r="E249" s="1111"/>
      <c r="F249" s="1111"/>
      <c r="G249" s="1111"/>
      <c r="H249" s="1111"/>
      <c r="I249" s="1112"/>
      <c r="J249" s="946"/>
      <c r="K249" s="946"/>
      <c r="L249" s="1110"/>
      <c r="M249" s="233" t="s">
        <v>322</v>
      </c>
      <c r="N249" s="351"/>
      <c r="O249" s="349">
        <v>1</v>
      </c>
      <c r="P249" s="349">
        <v>4000</v>
      </c>
      <c r="Q249" s="349">
        <f t="shared" si="73"/>
        <v>4000</v>
      </c>
      <c r="R249" s="350">
        <f t="shared" si="74"/>
        <v>4000</v>
      </c>
      <c r="S249" s="347"/>
      <c r="T249" s="347"/>
      <c r="U249" s="345">
        <v>48000</v>
      </c>
      <c r="V249" s="345">
        <f t="shared" si="70"/>
        <v>48000</v>
      </c>
      <c r="W249" s="40">
        <v>0</v>
      </c>
      <c r="X249" s="40">
        <f t="shared" si="71"/>
        <v>0</v>
      </c>
      <c r="Y249" s="40">
        <v>0</v>
      </c>
      <c r="Z249" s="40">
        <f t="shared" si="72"/>
        <v>0</v>
      </c>
      <c r="AA249" s="904"/>
      <c r="AB249" s="904"/>
      <c r="AC249" s="904"/>
      <c r="AD249" s="90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</row>
    <row r="250" spans="1:87" s="268" customFormat="1">
      <c r="A250" s="1098"/>
      <c r="B250" s="1111"/>
      <c r="C250" s="1111"/>
      <c r="D250" s="1111"/>
      <c r="E250" s="1111"/>
      <c r="F250" s="1111"/>
      <c r="G250" s="1111"/>
      <c r="H250" s="1111"/>
      <c r="I250" s="1112"/>
      <c r="J250" s="946"/>
      <c r="K250" s="946"/>
      <c r="L250" s="1110"/>
      <c r="M250" s="233" t="s">
        <v>323</v>
      </c>
      <c r="N250" s="351"/>
      <c r="O250" s="349">
        <v>1</v>
      </c>
      <c r="P250" s="349">
        <v>15000000</v>
      </c>
      <c r="Q250" s="349">
        <f t="shared" si="73"/>
        <v>15000000</v>
      </c>
      <c r="R250" s="350">
        <f t="shared" si="74"/>
        <v>15000000</v>
      </c>
      <c r="S250" s="347"/>
      <c r="T250" s="347"/>
      <c r="U250" s="345">
        <v>120000</v>
      </c>
      <c r="V250" s="345">
        <f t="shared" si="70"/>
        <v>120000</v>
      </c>
      <c r="W250" s="40">
        <v>0</v>
      </c>
      <c r="X250" s="40">
        <f t="shared" si="71"/>
        <v>0</v>
      </c>
      <c r="Y250" s="40">
        <v>0</v>
      </c>
      <c r="Z250" s="40">
        <f t="shared" si="72"/>
        <v>0</v>
      </c>
      <c r="AA250" s="904"/>
      <c r="AB250" s="904"/>
      <c r="AC250" s="904"/>
      <c r="AD250" s="90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</row>
    <row r="251" spans="1:87" s="268" customFormat="1">
      <c r="A251" s="1098"/>
      <c r="B251" s="1111"/>
      <c r="C251" s="1111"/>
      <c r="D251" s="1111"/>
      <c r="E251" s="1111"/>
      <c r="F251" s="1111"/>
      <c r="G251" s="1111"/>
      <c r="H251" s="1111"/>
      <c r="I251" s="1112"/>
      <c r="J251" s="946"/>
      <c r="K251" s="946"/>
      <c r="L251" s="1110"/>
      <c r="M251" s="233" t="s">
        <v>324</v>
      </c>
      <c r="N251" s="351"/>
      <c r="O251" s="349">
        <v>1</v>
      </c>
      <c r="P251" s="349">
        <v>20000</v>
      </c>
      <c r="Q251" s="349">
        <f t="shared" si="73"/>
        <v>20000</v>
      </c>
      <c r="R251" s="350">
        <f t="shared" si="74"/>
        <v>20000</v>
      </c>
      <c r="S251" s="347"/>
      <c r="T251" s="347"/>
      <c r="U251" s="345">
        <v>200000</v>
      </c>
      <c r="V251" s="345">
        <f t="shared" si="70"/>
        <v>200000</v>
      </c>
      <c r="W251" s="40">
        <v>0</v>
      </c>
      <c r="X251" s="40">
        <f t="shared" si="71"/>
        <v>0</v>
      </c>
      <c r="Y251" s="40">
        <v>0</v>
      </c>
      <c r="Z251" s="40">
        <f t="shared" si="72"/>
        <v>0</v>
      </c>
      <c r="AA251" s="904"/>
      <c r="AB251" s="904"/>
      <c r="AC251" s="904"/>
      <c r="AD251" s="90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</row>
    <row r="252" spans="1:87" s="268" customFormat="1" ht="60.75">
      <c r="A252" s="1098"/>
      <c r="B252" s="1111"/>
      <c r="C252" s="1111"/>
      <c r="D252" s="1111"/>
      <c r="E252" s="1111"/>
      <c r="F252" s="1111"/>
      <c r="G252" s="1111"/>
      <c r="H252" s="1111"/>
      <c r="I252" s="1112"/>
      <c r="J252" s="946"/>
      <c r="K252" s="946"/>
      <c r="L252" s="1110"/>
      <c r="M252" s="233" t="s">
        <v>325</v>
      </c>
      <c r="N252" s="351"/>
      <c r="O252" s="349">
        <v>1</v>
      </c>
      <c r="P252" s="349">
        <v>7000</v>
      </c>
      <c r="Q252" s="349">
        <f t="shared" si="73"/>
        <v>7000</v>
      </c>
      <c r="R252" s="353">
        <f t="shared" si="74"/>
        <v>7000</v>
      </c>
      <c r="S252" s="347"/>
      <c r="T252" s="347"/>
      <c r="U252" s="345">
        <v>63000</v>
      </c>
      <c r="V252" s="345">
        <f t="shared" si="70"/>
        <v>63000</v>
      </c>
      <c r="W252" s="40">
        <v>0</v>
      </c>
      <c r="X252" s="40">
        <f t="shared" si="71"/>
        <v>0</v>
      </c>
      <c r="Y252" s="40">
        <v>0</v>
      </c>
      <c r="Z252" s="40">
        <f t="shared" si="72"/>
        <v>0</v>
      </c>
      <c r="AA252" s="904"/>
      <c r="AB252" s="904"/>
      <c r="AC252" s="904"/>
      <c r="AD252" s="90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</row>
    <row r="253" spans="1:87" s="268" customFormat="1" ht="60.75">
      <c r="A253" s="1098"/>
      <c r="B253" s="1111"/>
      <c r="C253" s="1111"/>
      <c r="D253" s="1111"/>
      <c r="E253" s="1111"/>
      <c r="F253" s="1111"/>
      <c r="G253" s="1111"/>
      <c r="H253" s="1111"/>
      <c r="I253" s="1112"/>
      <c r="J253" s="946"/>
      <c r="K253" s="946"/>
      <c r="L253" s="1110"/>
      <c r="M253" s="354" t="s">
        <v>326</v>
      </c>
      <c r="N253" s="351"/>
      <c r="O253" s="349">
        <v>1</v>
      </c>
      <c r="P253" s="349">
        <v>600000</v>
      </c>
      <c r="Q253" s="349">
        <f t="shared" si="73"/>
        <v>600000</v>
      </c>
      <c r="R253" s="355">
        <f t="shared" si="74"/>
        <v>600000</v>
      </c>
      <c r="S253" s="347"/>
      <c r="T253" s="347"/>
      <c r="U253" s="40">
        <v>0</v>
      </c>
      <c r="V253" s="345">
        <f t="shared" si="70"/>
        <v>0</v>
      </c>
      <c r="W253" s="40">
        <v>600000</v>
      </c>
      <c r="X253" s="40">
        <f t="shared" si="71"/>
        <v>600000</v>
      </c>
      <c r="Y253" s="40">
        <v>600000</v>
      </c>
      <c r="Z253" s="40">
        <f t="shared" si="72"/>
        <v>600000</v>
      </c>
      <c r="AA253" s="904"/>
      <c r="AB253" s="904"/>
      <c r="AC253" s="904"/>
      <c r="AD253" s="90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</row>
    <row r="254" spans="1:87" s="268" customFormat="1" ht="86.25" customHeight="1">
      <c r="A254" s="1098"/>
      <c r="B254" s="1111"/>
      <c r="C254" s="1111"/>
      <c r="D254" s="1111"/>
      <c r="E254" s="1111"/>
      <c r="F254" s="1111"/>
      <c r="G254" s="1111"/>
      <c r="H254" s="1111"/>
      <c r="I254" s="1112"/>
      <c r="J254" s="946"/>
      <c r="K254" s="946"/>
      <c r="L254" s="1110"/>
      <c r="M254" s="356" t="s">
        <v>327</v>
      </c>
      <c r="N254" s="335"/>
      <c r="O254" s="357">
        <v>1</v>
      </c>
      <c r="P254" s="358">
        <v>90000</v>
      </c>
      <c r="Q254" s="358">
        <f t="shared" si="73"/>
        <v>90000</v>
      </c>
      <c r="R254" s="350">
        <f t="shared" si="74"/>
        <v>90000</v>
      </c>
      <c r="S254" s="347"/>
      <c r="T254" s="359"/>
      <c r="U254" s="40">
        <v>0</v>
      </c>
      <c r="V254" s="345">
        <f t="shared" si="70"/>
        <v>0</v>
      </c>
      <c r="W254" s="40">
        <v>89751</v>
      </c>
      <c r="X254" s="40">
        <f t="shared" si="71"/>
        <v>89751</v>
      </c>
      <c r="Y254" s="40">
        <v>89751</v>
      </c>
      <c r="Z254" s="40">
        <f t="shared" si="72"/>
        <v>89751</v>
      </c>
      <c r="AA254" s="904"/>
      <c r="AB254" s="904"/>
      <c r="AC254" s="904"/>
      <c r="AD254" s="904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</row>
    <row r="255" spans="1:87" s="268" customFormat="1" ht="48.75" customHeight="1">
      <c r="A255" s="1098"/>
      <c r="B255" s="1111"/>
      <c r="C255" s="1111"/>
      <c r="D255" s="1111"/>
      <c r="E255" s="1111"/>
      <c r="F255" s="1111"/>
      <c r="G255" s="1111"/>
      <c r="H255" s="1111"/>
      <c r="I255" s="1112"/>
      <c r="J255" s="946"/>
      <c r="K255" s="946"/>
      <c r="L255" s="1110"/>
      <c r="M255" s="356" t="s">
        <v>328</v>
      </c>
      <c r="N255" s="335"/>
      <c r="O255" s="357">
        <v>5</v>
      </c>
      <c r="P255" s="358">
        <v>17280</v>
      </c>
      <c r="Q255" s="358">
        <v>86400</v>
      </c>
      <c r="R255" s="341"/>
      <c r="S255" s="347">
        <f t="shared" ref="S255:S271" si="75">ROUND(O255*P255,0)</f>
        <v>86400</v>
      </c>
      <c r="T255" s="359"/>
      <c r="U255" s="40">
        <v>0</v>
      </c>
      <c r="V255" s="345">
        <f t="shared" si="70"/>
        <v>0</v>
      </c>
      <c r="W255" s="40">
        <v>86400</v>
      </c>
      <c r="X255" s="40">
        <f t="shared" si="71"/>
        <v>86400</v>
      </c>
      <c r="Y255" s="40">
        <v>86400</v>
      </c>
      <c r="Z255" s="40">
        <f t="shared" si="72"/>
        <v>86400</v>
      </c>
      <c r="AA255" s="904"/>
      <c r="AB255" s="904"/>
      <c r="AC255" s="904"/>
      <c r="AD255" s="904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</row>
    <row r="256" spans="1:87" s="268" customFormat="1">
      <c r="A256" s="1098"/>
      <c r="B256" s="1111"/>
      <c r="C256" s="1111"/>
      <c r="D256" s="1111"/>
      <c r="E256" s="1111"/>
      <c r="F256" s="1111"/>
      <c r="G256" s="1111"/>
      <c r="H256" s="1111"/>
      <c r="I256" s="1112"/>
      <c r="J256" s="946"/>
      <c r="K256" s="946"/>
      <c r="L256" s="1110"/>
      <c r="M256" s="356" t="s">
        <v>329</v>
      </c>
      <c r="N256" s="335"/>
      <c r="O256" s="357">
        <v>5</v>
      </c>
      <c r="P256" s="358">
        <v>4000</v>
      </c>
      <c r="Q256" s="358">
        <v>20000</v>
      </c>
      <c r="R256" s="341"/>
      <c r="S256" s="347">
        <f t="shared" si="75"/>
        <v>20000</v>
      </c>
      <c r="T256" s="359"/>
      <c r="U256" s="40">
        <v>0</v>
      </c>
      <c r="V256" s="345">
        <f t="shared" si="70"/>
        <v>0</v>
      </c>
      <c r="W256" s="40">
        <v>20000</v>
      </c>
      <c r="X256" s="40">
        <f t="shared" si="71"/>
        <v>20000</v>
      </c>
      <c r="Y256" s="40">
        <v>20000</v>
      </c>
      <c r="Z256" s="40">
        <f t="shared" si="72"/>
        <v>20000</v>
      </c>
      <c r="AA256" s="904"/>
      <c r="AB256" s="904"/>
      <c r="AC256" s="904"/>
      <c r="AD256" s="904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</row>
    <row r="257" spans="1:87" s="268" customFormat="1">
      <c r="A257" s="1098"/>
      <c r="B257" s="1111"/>
      <c r="C257" s="1111"/>
      <c r="D257" s="1111"/>
      <c r="E257" s="1111"/>
      <c r="F257" s="1111"/>
      <c r="G257" s="1111"/>
      <c r="H257" s="1111"/>
      <c r="I257" s="1112"/>
      <c r="J257" s="946"/>
      <c r="K257" s="946"/>
      <c r="L257" s="1110"/>
      <c r="M257" s="356" t="s">
        <v>330</v>
      </c>
      <c r="N257" s="335"/>
      <c r="O257" s="357">
        <v>10</v>
      </c>
      <c r="P257" s="358">
        <v>16500</v>
      </c>
      <c r="Q257" s="358">
        <v>165000</v>
      </c>
      <c r="R257" s="341"/>
      <c r="S257" s="347">
        <f t="shared" si="75"/>
        <v>165000</v>
      </c>
      <c r="T257" s="359"/>
      <c r="U257" s="40">
        <v>0</v>
      </c>
      <c r="V257" s="345">
        <f t="shared" si="70"/>
        <v>0</v>
      </c>
      <c r="W257" s="40">
        <v>165000</v>
      </c>
      <c r="X257" s="40">
        <f t="shared" si="71"/>
        <v>165000</v>
      </c>
      <c r="Y257" s="40">
        <v>165000</v>
      </c>
      <c r="Z257" s="40">
        <f t="shared" si="72"/>
        <v>165000</v>
      </c>
      <c r="AA257" s="904"/>
      <c r="AB257" s="904"/>
      <c r="AC257" s="904"/>
      <c r="AD257" s="904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</row>
    <row r="258" spans="1:87" s="268" customFormat="1" ht="56.25" customHeight="1">
      <c r="A258" s="1098"/>
      <c r="B258" s="1111"/>
      <c r="C258" s="1111"/>
      <c r="D258" s="1111"/>
      <c r="E258" s="1111"/>
      <c r="F258" s="1111"/>
      <c r="G258" s="1111"/>
      <c r="H258" s="1111"/>
      <c r="I258" s="1112"/>
      <c r="J258" s="946"/>
      <c r="K258" s="946"/>
      <c r="L258" s="1110"/>
      <c r="M258" s="356" t="s">
        <v>331</v>
      </c>
      <c r="N258" s="335"/>
      <c r="O258" s="357">
        <v>10</v>
      </c>
      <c r="P258" s="358">
        <v>4000</v>
      </c>
      <c r="Q258" s="358">
        <v>40000</v>
      </c>
      <c r="R258" s="341"/>
      <c r="S258" s="347">
        <f t="shared" si="75"/>
        <v>40000</v>
      </c>
      <c r="T258" s="359"/>
      <c r="U258" s="40">
        <v>0</v>
      </c>
      <c r="V258" s="345">
        <f t="shared" si="70"/>
        <v>0</v>
      </c>
      <c r="W258" s="40">
        <v>40000</v>
      </c>
      <c r="X258" s="40">
        <f t="shared" si="71"/>
        <v>40000</v>
      </c>
      <c r="Y258" s="40">
        <v>40000</v>
      </c>
      <c r="Z258" s="40">
        <f t="shared" si="72"/>
        <v>40000</v>
      </c>
      <c r="AA258" s="904"/>
      <c r="AB258" s="904"/>
      <c r="AC258" s="904"/>
      <c r="AD258" s="904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</row>
    <row r="259" spans="1:87" s="268" customFormat="1" ht="48.75" customHeight="1">
      <c r="A259" s="1098"/>
      <c r="B259" s="1111"/>
      <c r="C259" s="1111"/>
      <c r="D259" s="1111"/>
      <c r="E259" s="1111"/>
      <c r="F259" s="1111"/>
      <c r="G259" s="1111"/>
      <c r="H259" s="1111"/>
      <c r="I259" s="1112"/>
      <c r="J259" s="946"/>
      <c r="K259" s="946"/>
      <c r="L259" s="1110"/>
      <c r="M259" s="356" t="s">
        <v>332</v>
      </c>
      <c r="N259" s="335"/>
      <c r="O259" s="357">
        <v>1</v>
      </c>
      <c r="P259" s="358">
        <v>4000</v>
      </c>
      <c r="Q259" s="358">
        <v>4000</v>
      </c>
      <c r="R259" s="341"/>
      <c r="S259" s="347">
        <v>8000</v>
      </c>
      <c r="T259" s="359"/>
      <c r="U259" s="40">
        <v>0</v>
      </c>
      <c r="V259" s="345">
        <f t="shared" si="70"/>
        <v>0</v>
      </c>
      <c r="W259" s="40">
        <v>8000</v>
      </c>
      <c r="X259" s="40">
        <f t="shared" si="71"/>
        <v>8000</v>
      </c>
      <c r="Y259" s="40">
        <v>8000</v>
      </c>
      <c r="Z259" s="40">
        <f t="shared" si="72"/>
        <v>8000</v>
      </c>
      <c r="AA259" s="904"/>
      <c r="AB259" s="904"/>
      <c r="AC259" s="904"/>
      <c r="AD259" s="904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</row>
    <row r="260" spans="1:87" s="268" customFormat="1" ht="35.25" customHeight="1">
      <c r="A260" s="1098"/>
      <c r="B260" s="1111"/>
      <c r="C260" s="1111"/>
      <c r="D260" s="1111"/>
      <c r="E260" s="1111"/>
      <c r="F260" s="1111"/>
      <c r="G260" s="1111"/>
      <c r="H260" s="1111"/>
      <c r="I260" s="1112"/>
      <c r="J260" s="946"/>
      <c r="K260" s="946"/>
      <c r="L260" s="1110"/>
      <c r="M260" s="356" t="s">
        <v>333</v>
      </c>
      <c r="N260" s="335"/>
      <c r="O260" s="357">
        <v>2</v>
      </c>
      <c r="P260" s="358">
        <v>2000</v>
      </c>
      <c r="Q260" s="358">
        <v>4000</v>
      </c>
      <c r="R260" s="341"/>
      <c r="S260" s="347">
        <f t="shared" si="75"/>
        <v>4000</v>
      </c>
      <c r="T260" s="359"/>
      <c r="U260" s="40">
        <v>0</v>
      </c>
      <c r="V260" s="345">
        <f t="shared" si="70"/>
        <v>0</v>
      </c>
      <c r="W260" s="40">
        <v>4000</v>
      </c>
      <c r="X260" s="40">
        <f t="shared" si="71"/>
        <v>4000</v>
      </c>
      <c r="Y260" s="40">
        <v>4000</v>
      </c>
      <c r="Z260" s="40">
        <f t="shared" si="72"/>
        <v>4000</v>
      </c>
      <c r="AA260" s="904"/>
      <c r="AB260" s="904"/>
      <c r="AC260" s="904"/>
      <c r="AD260" s="904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</row>
    <row r="261" spans="1:87" s="268" customFormat="1" ht="33" customHeight="1">
      <c r="A261" s="1098"/>
      <c r="B261" s="1111"/>
      <c r="C261" s="1111"/>
      <c r="D261" s="1111"/>
      <c r="E261" s="1111"/>
      <c r="F261" s="1111"/>
      <c r="G261" s="1111"/>
      <c r="H261" s="1111"/>
      <c r="I261" s="1112"/>
      <c r="J261" s="946"/>
      <c r="K261" s="946"/>
      <c r="L261" s="1110"/>
      <c r="M261" s="356" t="s">
        <v>306</v>
      </c>
      <c r="N261" s="335"/>
      <c r="O261" s="357">
        <v>2</v>
      </c>
      <c r="P261" s="358">
        <v>3000</v>
      </c>
      <c r="Q261" s="358">
        <v>6000</v>
      </c>
      <c r="R261" s="341"/>
      <c r="S261" s="347">
        <f t="shared" si="75"/>
        <v>6000</v>
      </c>
      <c r="T261" s="359"/>
      <c r="U261" s="40">
        <v>0</v>
      </c>
      <c r="V261" s="345">
        <f t="shared" si="70"/>
        <v>0</v>
      </c>
      <c r="W261" s="40">
        <v>6000</v>
      </c>
      <c r="X261" s="40">
        <f t="shared" si="71"/>
        <v>6000</v>
      </c>
      <c r="Y261" s="40">
        <v>6000</v>
      </c>
      <c r="Z261" s="40">
        <f t="shared" si="72"/>
        <v>6000</v>
      </c>
      <c r="AA261" s="904"/>
      <c r="AB261" s="904"/>
      <c r="AC261" s="904"/>
      <c r="AD261" s="904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</row>
    <row r="262" spans="1:87" s="268" customFormat="1" ht="71.25" customHeight="1">
      <c r="A262" s="1098"/>
      <c r="B262" s="1111"/>
      <c r="C262" s="1111"/>
      <c r="D262" s="1111"/>
      <c r="E262" s="1111"/>
      <c r="F262" s="1111"/>
      <c r="G262" s="1111"/>
      <c r="H262" s="1111"/>
      <c r="I262" s="1112"/>
      <c r="J262" s="946"/>
      <c r="K262" s="946"/>
      <c r="L262" s="1110"/>
      <c r="M262" s="356" t="s">
        <v>307</v>
      </c>
      <c r="N262" s="335"/>
      <c r="O262" s="357">
        <v>2</v>
      </c>
      <c r="P262" s="358">
        <v>4000</v>
      </c>
      <c r="Q262" s="358">
        <v>8000</v>
      </c>
      <c r="R262" s="341"/>
      <c r="S262" s="347">
        <f t="shared" si="75"/>
        <v>8000</v>
      </c>
      <c r="T262" s="359"/>
      <c r="U262" s="40">
        <v>0</v>
      </c>
      <c r="V262" s="345">
        <f t="shared" si="70"/>
        <v>0</v>
      </c>
      <c r="W262" s="40">
        <v>8000</v>
      </c>
      <c r="X262" s="40">
        <f t="shared" si="71"/>
        <v>8000</v>
      </c>
      <c r="Y262" s="40">
        <v>8000</v>
      </c>
      <c r="Z262" s="40">
        <f t="shared" si="72"/>
        <v>8000</v>
      </c>
      <c r="AA262" s="904"/>
      <c r="AB262" s="904"/>
      <c r="AC262" s="904"/>
      <c r="AD262" s="904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</row>
    <row r="263" spans="1:87" s="268" customFormat="1" ht="40.5">
      <c r="A263" s="1098"/>
      <c r="B263" s="1111"/>
      <c r="C263" s="1111"/>
      <c r="D263" s="1111"/>
      <c r="E263" s="1111"/>
      <c r="F263" s="1111"/>
      <c r="G263" s="1111"/>
      <c r="H263" s="1111"/>
      <c r="I263" s="1112"/>
      <c r="J263" s="946"/>
      <c r="K263" s="946"/>
      <c r="L263" s="1110"/>
      <c r="M263" s="356" t="s">
        <v>334</v>
      </c>
      <c r="N263" s="335"/>
      <c r="O263" s="357">
        <v>1</v>
      </c>
      <c r="P263" s="358">
        <v>58000</v>
      </c>
      <c r="Q263" s="358">
        <v>58000</v>
      </c>
      <c r="R263" s="341"/>
      <c r="S263" s="347">
        <f t="shared" si="75"/>
        <v>58000</v>
      </c>
      <c r="T263" s="359"/>
      <c r="U263" s="40">
        <v>0</v>
      </c>
      <c r="V263" s="345">
        <f t="shared" si="70"/>
        <v>0</v>
      </c>
      <c r="W263" s="40">
        <v>58000</v>
      </c>
      <c r="X263" s="40">
        <f t="shared" si="71"/>
        <v>58000</v>
      </c>
      <c r="Y263" s="40">
        <v>58000</v>
      </c>
      <c r="Z263" s="40">
        <f t="shared" si="72"/>
        <v>58000</v>
      </c>
      <c r="AA263" s="904"/>
      <c r="AB263" s="904"/>
      <c r="AC263" s="904"/>
      <c r="AD263" s="904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</row>
    <row r="264" spans="1:87" s="268" customFormat="1" ht="53.25" customHeight="1">
      <c r="A264" s="1098"/>
      <c r="B264" s="1111"/>
      <c r="C264" s="1111"/>
      <c r="D264" s="1111"/>
      <c r="E264" s="1111"/>
      <c r="F264" s="1111"/>
      <c r="G264" s="1111"/>
      <c r="H264" s="1111"/>
      <c r="I264" s="1112"/>
      <c r="J264" s="946"/>
      <c r="K264" s="946"/>
      <c r="L264" s="1110"/>
      <c r="M264" s="356" t="s">
        <v>335</v>
      </c>
      <c r="N264" s="335"/>
      <c r="O264" s="357">
        <v>1</v>
      </c>
      <c r="P264" s="358">
        <v>9500</v>
      </c>
      <c r="Q264" s="358">
        <v>9500</v>
      </c>
      <c r="R264" s="341"/>
      <c r="S264" s="347">
        <f t="shared" si="75"/>
        <v>9500</v>
      </c>
      <c r="T264" s="359"/>
      <c r="U264" s="40">
        <v>0</v>
      </c>
      <c r="V264" s="345">
        <f t="shared" si="70"/>
        <v>0</v>
      </c>
      <c r="W264" s="40">
        <v>9500</v>
      </c>
      <c r="X264" s="40">
        <f t="shared" si="71"/>
        <v>9500</v>
      </c>
      <c r="Y264" s="40">
        <v>9500</v>
      </c>
      <c r="Z264" s="40">
        <f t="shared" si="72"/>
        <v>9500</v>
      </c>
      <c r="AA264" s="904"/>
      <c r="AB264" s="904"/>
      <c r="AC264" s="904"/>
      <c r="AD264" s="904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</row>
    <row r="265" spans="1:87" s="268" customFormat="1" ht="52.5" customHeight="1">
      <c r="A265" s="1098"/>
      <c r="B265" s="1111"/>
      <c r="C265" s="1111"/>
      <c r="D265" s="1111"/>
      <c r="E265" s="1111"/>
      <c r="F265" s="1111"/>
      <c r="G265" s="1111"/>
      <c r="H265" s="1111"/>
      <c r="I265" s="1112"/>
      <c r="J265" s="946"/>
      <c r="K265" s="946"/>
      <c r="L265" s="1110"/>
      <c r="M265" s="356" t="s">
        <v>336</v>
      </c>
      <c r="N265" s="335"/>
      <c r="O265" s="357">
        <v>1</v>
      </c>
      <c r="P265" s="358">
        <v>105000</v>
      </c>
      <c r="Q265" s="358">
        <v>105000</v>
      </c>
      <c r="R265" s="341"/>
      <c r="S265" s="347">
        <f t="shared" si="75"/>
        <v>105000</v>
      </c>
      <c r="T265" s="359"/>
      <c r="U265" s="40">
        <v>0</v>
      </c>
      <c r="V265" s="345">
        <f t="shared" si="70"/>
        <v>0</v>
      </c>
      <c r="W265" s="40">
        <v>105000</v>
      </c>
      <c r="X265" s="40">
        <f t="shared" si="71"/>
        <v>105000</v>
      </c>
      <c r="Y265" s="40">
        <v>105000</v>
      </c>
      <c r="Z265" s="40">
        <f t="shared" si="72"/>
        <v>105000</v>
      </c>
      <c r="AA265" s="904"/>
      <c r="AB265" s="904"/>
      <c r="AC265" s="904"/>
      <c r="AD265" s="904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</row>
    <row r="266" spans="1:87" s="268" customFormat="1" ht="81" customHeight="1">
      <c r="A266" s="1098"/>
      <c r="B266" s="1111"/>
      <c r="C266" s="1111"/>
      <c r="D266" s="1111"/>
      <c r="E266" s="1111"/>
      <c r="F266" s="1111"/>
      <c r="G266" s="1111"/>
      <c r="H266" s="1111"/>
      <c r="I266" s="1112"/>
      <c r="J266" s="946"/>
      <c r="K266" s="946"/>
      <c r="L266" s="1110"/>
      <c r="M266" s="356" t="s">
        <v>337</v>
      </c>
      <c r="N266" s="335"/>
      <c r="O266" s="357">
        <v>1</v>
      </c>
      <c r="P266" s="358">
        <v>300000</v>
      </c>
      <c r="Q266" s="358">
        <v>300000</v>
      </c>
      <c r="R266" s="341"/>
      <c r="S266" s="347">
        <f t="shared" si="75"/>
        <v>300000</v>
      </c>
      <c r="T266" s="359"/>
      <c r="U266" s="40">
        <v>0</v>
      </c>
      <c r="V266" s="345">
        <f t="shared" si="70"/>
        <v>0</v>
      </c>
      <c r="W266" s="40">
        <v>300000</v>
      </c>
      <c r="X266" s="40">
        <f t="shared" si="71"/>
        <v>300000</v>
      </c>
      <c r="Y266" s="40">
        <v>300000</v>
      </c>
      <c r="Z266" s="40">
        <f t="shared" si="72"/>
        <v>300000</v>
      </c>
      <c r="AA266" s="904"/>
      <c r="AB266" s="904"/>
      <c r="AC266" s="904"/>
      <c r="AD266" s="904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</row>
    <row r="267" spans="1:87" s="268" customFormat="1" ht="61.5" customHeight="1">
      <c r="A267" s="1098"/>
      <c r="B267" s="1111"/>
      <c r="C267" s="1111"/>
      <c r="D267" s="1111"/>
      <c r="E267" s="1111"/>
      <c r="F267" s="1111"/>
      <c r="G267" s="1111"/>
      <c r="H267" s="1111"/>
      <c r="I267" s="1112"/>
      <c r="J267" s="946"/>
      <c r="K267" s="946"/>
      <c r="L267" s="1110"/>
      <c r="M267" s="356" t="s">
        <v>338</v>
      </c>
      <c r="N267" s="335"/>
      <c r="O267" s="357">
        <v>1</v>
      </c>
      <c r="P267" s="358">
        <v>36000</v>
      </c>
      <c r="Q267" s="358">
        <v>36000</v>
      </c>
      <c r="R267" s="341"/>
      <c r="S267" s="347">
        <f t="shared" si="75"/>
        <v>36000</v>
      </c>
      <c r="T267" s="359"/>
      <c r="U267" s="40">
        <v>0</v>
      </c>
      <c r="V267" s="345">
        <f t="shared" si="70"/>
        <v>0</v>
      </c>
      <c r="W267" s="40">
        <v>36000</v>
      </c>
      <c r="X267" s="40">
        <f t="shared" si="71"/>
        <v>36000</v>
      </c>
      <c r="Y267" s="40">
        <v>36000</v>
      </c>
      <c r="Z267" s="40">
        <f t="shared" si="72"/>
        <v>36000</v>
      </c>
      <c r="AA267" s="904"/>
      <c r="AB267" s="904"/>
      <c r="AC267" s="904"/>
      <c r="AD267" s="904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</row>
    <row r="268" spans="1:87" s="268" customFormat="1" ht="41.25" customHeight="1">
      <c r="A268" s="1098"/>
      <c r="B268" s="1111"/>
      <c r="C268" s="1111"/>
      <c r="D268" s="1111"/>
      <c r="E268" s="1111"/>
      <c r="F268" s="1111"/>
      <c r="G268" s="1111"/>
      <c r="H268" s="1111"/>
      <c r="I268" s="1112"/>
      <c r="J268" s="946"/>
      <c r="K268" s="946"/>
      <c r="L268" s="1110"/>
      <c r="M268" s="356" t="s">
        <v>339</v>
      </c>
      <c r="N268" s="335"/>
      <c r="O268" s="357">
        <v>3</v>
      </c>
      <c r="P268" s="358">
        <v>5200</v>
      </c>
      <c r="Q268" s="358">
        <v>15600</v>
      </c>
      <c r="R268" s="341"/>
      <c r="S268" s="347">
        <f t="shared" si="75"/>
        <v>15600</v>
      </c>
      <c r="T268" s="359"/>
      <c r="U268" s="40">
        <v>0</v>
      </c>
      <c r="V268" s="345">
        <f t="shared" si="70"/>
        <v>0</v>
      </c>
      <c r="W268" s="40">
        <v>15600</v>
      </c>
      <c r="X268" s="40">
        <f t="shared" si="71"/>
        <v>15600</v>
      </c>
      <c r="Y268" s="40">
        <v>15600</v>
      </c>
      <c r="Z268" s="40">
        <f t="shared" si="72"/>
        <v>15600</v>
      </c>
      <c r="AA268" s="904"/>
      <c r="AB268" s="904"/>
      <c r="AC268" s="904"/>
      <c r="AD268" s="904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</row>
    <row r="269" spans="1:87" s="268" customFormat="1" ht="35.25" customHeight="1">
      <c r="A269" s="1098"/>
      <c r="B269" s="1111"/>
      <c r="C269" s="1111"/>
      <c r="D269" s="1111"/>
      <c r="E269" s="1111"/>
      <c r="F269" s="1111"/>
      <c r="G269" s="1111"/>
      <c r="H269" s="1111"/>
      <c r="I269" s="1112"/>
      <c r="J269" s="946"/>
      <c r="K269" s="946"/>
      <c r="L269" s="1110"/>
      <c r="M269" s="356" t="s">
        <v>324</v>
      </c>
      <c r="N269" s="335"/>
      <c r="O269" s="357">
        <v>2</v>
      </c>
      <c r="P269" s="358">
        <v>49000</v>
      </c>
      <c r="Q269" s="358">
        <v>98000</v>
      </c>
      <c r="R269" s="341"/>
      <c r="S269" s="347">
        <f t="shared" si="75"/>
        <v>98000</v>
      </c>
      <c r="T269" s="359"/>
      <c r="U269" s="40">
        <v>0</v>
      </c>
      <c r="V269" s="345">
        <f t="shared" si="70"/>
        <v>0</v>
      </c>
      <c r="W269" s="40">
        <v>98000</v>
      </c>
      <c r="X269" s="40">
        <f t="shared" si="71"/>
        <v>98000</v>
      </c>
      <c r="Y269" s="40">
        <v>98000</v>
      </c>
      <c r="Z269" s="40">
        <f t="shared" si="72"/>
        <v>98000</v>
      </c>
      <c r="AA269" s="904"/>
      <c r="AB269" s="904"/>
      <c r="AC269" s="904"/>
      <c r="AD269" s="904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</row>
    <row r="270" spans="1:87" s="268" customFormat="1" ht="84" customHeight="1">
      <c r="A270" s="1098"/>
      <c r="B270" s="1111"/>
      <c r="C270" s="1111"/>
      <c r="D270" s="1111"/>
      <c r="E270" s="1111"/>
      <c r="F270" s="1111"/>
      <c r="G270" s="1111"/>
      <c r="H270" s="1111"/>
      <c r="I270" s="1112"/>
      <c r="J270" s="946"/>
      <c r="K270" s="946"/>
      <c r="L270" s="1110"/>
      <c r="M270" s="356" t="s">
        <v>340</v>
      </c>
      <c r="N270" s="335"/>
      <c r="O270" s="357">
        <v>1</v>
      </c>
      <c r="P270" s="358">
        <v>62000</v>
      </c>
      <c r="Q270" s="358">
        <v>62000</v>
      </c>
      <c r="R270" s="341"/>
      <c r="S270" s="347">
        <f t="shared" si="75"/>
        <v>62000</v>
      </c>
      <c r="T270" s="359"/>
      <c r="U270" s="40">
        <v>0</v>
      </c>
      <c r="V270" s="345">
        <f t="shared" si="70"/>
        <v>0</v>
      </c>
      <c r="W270" s="40">
        <v>62000</v>
      </c>
      <c r="X270" s="40">
        <f t="shared" si="71"/>
        <v>62000</v>
      </c>
      <c r="Y270" s="40">
        <v>62000</v>
      </c>
      <c r="Z270" s="40">
        <f t="shared" si="72"/>
        <v>62000</v>
      </c>
      <c r="AA270" s="904"/>
      <c r="AB270" s="904"/>
      <c r="AC270" s="904"/>
      <c r="AD270" s="904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</row>
    <row r="271" spans="1:87" s="268" customFormat="1" ht="96" customHeight="1">
      <c r="A271" s="1098"/>
      <c r="B271" s="1111"/>
      <c r="C271" s="1111"/>
      <c r="D271" s="1111"/>
      <c r="E271" s="1111"/>
      <c r="F271" s="1111"/>
      <c r="G271" s="1111"/>
      <c r="H271" s="1111"/>
      <c r="I271" s="1112"/>
      <c r="J271" s="946"/>
      <c r="K271" s="946"/>
      <c r="L271" s="1110"/>
      <c r="M271" s="356" t="s">
        <v>321</v>
      </c>
      <c r="N271" s="335"/>
      <c r="O271" s="357">
        <v>2</v>
      </c>
      <c r="P271" s="358">
        <v>60000</v>
      </c>
      <c r="Q271" s="358">
        <v>120000</v>
      </c>
      <c r="R271" s="341"/>
      <c r="S271" s="347">
        <f t="shared" si="75"/>
        <v>120000</v>
      </c>
      <c r="T271" s="359"/>
      <c r="U271" s="40">
        <v>0</v>
      </c>
      <c r="V271" s="345">
        <f t="shared" si="70"/>
        <v>0</v>
      </c>
      <c r="W271" s="40">
        <v>120000</v>
      </c>
      <c r="X271" s="40">
        <f t="shared" si="71"/>
        <v>120000</v>
      </c>
      <c r="Y271" s="40">
        <v>120000</v>
      </c>
      <c r="Z271" s="40">
        <f t="shared" si="72"/>
        <v>120000</v>
      </c>
      <c r="AA271" s="904"/>
      <c r="AB271" s="904"/>
      <c r="AC271" s="904"/>
      <c r="AD271" s="904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</row>
    <row r="272" spans="1:87" s="268" customFormat="1" ht="51" customHeight="1">
      <c r="A272" s="1098" t="s">
        <v>341</v>
      </c>
      <c r="B272" s="1106"/>
      <c r="C272" s="946"/>
      <c r="D272" s="946"/>
      <c r="E272" s="946"/>
      <c r="F272" s="946"/>
      <c r="G272" s="946"/>
      <c r="H272" s="946"/>
      <c r="I272" s="1107" t="s">
        <v>342</v>
      </c>
      <c r="J272" s="1108">
        <v>850000</v>
      </c>
      <c r="K272" s="1109">
        <v>533700</v>
      </c>
      <c r="L272" s="1110" t="s">
        <v>112</v>
      </c>
      <c r="M272" s="360" t="s">
        <v>343</v>
      </c>
      <c r="N272" s="361"/>
      <c r="O272" s="362">
        <v>55</v>
      </c>
      <c r="P272" s="363">
        <v>46045.83</v>
      </c>
      <c r="Q272" s="364" t="e">
        <f>Q273+#REF!+Q274+#REF!+Q275</f>
        <v>#REF!</v>
      </c>
      <c r="R272" s="337" t="e">
        <f>R273+#REF!+R274+#REF!+R275</f>
        <v>#REF!</v>
      </c>
      <c r="S272" s="337" t="e">
        <f>S273+#REF!+S274+#REF!+S275</f>
        <v>#REF!</v>
      </c>
      <c r="T272" s="337" t="e">
        <f>T273+#REF!+T274+#REF!+T275</f>
        <v>#REF!</v>
      </c>
      <c r="U272" s="365">
        <f t="shared" ref="U272:Z272" si="76">U273+U274+U275</f>
        <v>533700</v>
      </c>
      <c r="V272" s="365">
        <f t="shared" si="76"/>
        <v>533700</v>
      </c>
      <c r="W272" s="365">
        <f t="shared" si="76"/>
        <v>266850</v>
      </c>
      <c r="X272" s="365">
        <f t="shared" si="76"/>
        <v>266850</v>
      </c>
      <c r="Y272" s="365">
        <f t="shared" si="76"/>
        <v>266850</v>
      </c>
      <c r="Z272" s="365">
        <f t="shared" si="76"/>
        <v>266850</v>
      </c>
      <c r="AA272" s="904"/>
      <c r="AB272" s="904"/>
      <c r="AC272" s="904"/>
      <c r="AD272" s="904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</row>
    <row r="273" spans="1:87" s="268" customFormat="1" ht="64.5" customHeight="1">
      <c r="A273" s="982"/>
      <c r="B273" s="946"/>
      <c r="C273" s="946"/>
      <c r="D273" s="946"/>
      <c r="E273" s="946"/>
      <c r="F273" s="946"/>
      <c r="G273" s="946"/>
      <c r="H273" s="946"/>
      <c r="I273" s="986"/>
      <c r="J273" s="986"/>
      <c r="K273" s="946"/>
      <c r="L273" s="946"/>
      <c r="M273" s="366" t="s">
        <v>337</v>
      </c>
      <c r="N273" s="367"/>
      <c r="O273" s="368">
        <v>50</v>
      </c>
      <c r="P273" s="336">
        <v>5800</v>
      </c>
      <c r="Q273" s="364">
        <f>ROUND(O273*P273,0)</f>
        <v>290000</v>
      </c>
      <c r="R273" s="369">
        <v>0</v>
      </c>
      <c r="S273" s="370">
        <v>290000</v>
      </c>
      <c r="T273" s="370"/>
      <c r="U273" s="40">
        <v>401833.33</v>
      </c>
      <c r="V273" s="40">
        <f>U273</f>
        <v>401833.33</v>
      </c>
      <c r="W273" s="40">
        <v>266850</v>
      </c>
      <c r="X273" s="40">
        <f>W273</f>
        <v>266850</v>
      </c>
      <c r="Y273" s="40">
        <v>266850</v>
      </c>
      <c r="Z273" s="40">
        <f>Y273</f>
        <v>266850</v>
      </c>
      <c r="AA273" s="904"/>
      <c r="AB273" s="904"/>
      <c r="AC273" s="904"/>
      <c r="AD273" s="904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</row>
    <row r="274" spans="1:87" s="268" customFormat="1" ht="30" customHeight="1">
      <c r="A274" s="982"/>
      <c r="B274" s="946"/>
      <c r="C274" s="946"/>
      <c r="D274" s="946"/>
      <c r="E274" s="946"/>
      <c r="F274" s="946"/>
      <c r="G274" s="946"/>
      <c r="H274" s="946"/>
      <c r="I274" s="986"/>
      <c r="J274" s="986"/>
      <c r="K274" s="946"/>
      <c r="L274" s="946"/>
      <c r="M274" s="366" t="s">
        <v>344</v>
      </c>
      <c r="N274" s="367"/>
      <c r="O274" s="368">
        <v>1</v>
      </c>
      <c r="P274" s="336">
        <v>142000</v>
      </c>
      <c r="Q274" s="364">
        <f>ROUND(O274*P274,0)</f>
        <v>142000</v>
      </c>
      <c r="R274" s="369">
        <v>142000</v>
      </c>
      <c r="S274" s="370"/>
      <c r="T274" s="370"/>
      <c r="U274" s="40">
        <v>20000</v>
      </c>
      <c r="V274" s="40">
        <f>U274</f>
        <v>20000</v>
      </c>
      <c r="W274" s="40">
        <v>0</v>
      </c>
      <c r="X274" s="40">
        <f>W274</f>
        <v>0</v>
      </c>
      <c r="Y274" s="40">
        <v>0</v>
      </c>
      <c r="Z274" s="40">
        <f>Y274</f>
        <v>0</v>
      </c>
      <c r="AA274" s="904"/>
      <c r="AB274" s="904"/>
      <c r="AC274" s="904"/>
      <c r="AD274" s="904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</row>
    <row r="275" spans="1:87" s="268" customFormat="1" ht="64.5" customHeight="1">
      <c r="A275" s="982"/>
      <c r="B275" s="946"/>
      <c r="C275" s="946"/>
      <c r="D275" s="946"/>
      <c r="E275" s="946"/>
      <c r="F275" s="946"/>
      <c r="G275" s="946"/>
      <c r="H275" s="946"/>
      <c r="I275" s="986"/>
      <c r="J275" s="986"/>
      <c r="K275" s="946"/>
      <c r="L275" s="946"/>
      <c r="M275" s="366" t="s">
        <v>345</v>
      </c>
      <c r="N275" s="367"/>
      <c r="O275" s="371">
        <v>2</v>
      </c>
      <c r="P275" s="372">
        <v>97006.65</v>
      </c>
      <c r="Q275" s="364">
        <f>ROUND(O275*P275,0)</f>
        <v>194013</v>
      </c>
      <c r="R275" s="369">
        <v>0</v>
      </c>
      <c r="S275" s="373">
        <v>0</v>
      </c>
      <c r="T275" s="373">
        <v>194013</v>
      </c>
      <c r="U275" s="40">
        <v>111866.67</v>
      </c>
      <c r="V275" s="40">
        <f>U275</f>
        <v>111866.67</v>
      </c>
      <c r="W275" s="40">
        <v>0</v>
      </c>
      <c r="X275" s="40">
        <f>W275</f>
        <v>0</v>
      </c>
      <c r="Y275" s="40">
        <v>0</v>
      </c>
      <c r="Z275" s="40">
        <f>Y275</f>
        <v>0</v>
      </c>
      <c r="AA275" s="904"/>
      <c r="AB275" s="904"/>
      <c r="AC275" s="904"/>
      <c r="AD275" s="904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</row>
    <row r="276" spans="1:87" s="268" customFormat="1" ht="249" customHeight="1">
      <c r="A276" s="374" t="s">
        <v>346</v>
      </c>
      <c r="B276" s="241" t="s">
        <v>22</v>
      </c>
      <c r="C276" s="241" t="s">
        <v>23</v>
      </c>
      <c r="D276" s="241" t="s">
        <v>347</v>
      </c>
      <c r="E276" s="241" t="s">
        <v>25</v>
      </c>
      <c r="F276" s="241" t="s">
        <v>348</v>
      </c>
      <c r="G276" s="241" t="s">
        <v>349</v>
      </c>
      <c r="H276" s="241" t="s">
        <v>28</v>
      </c>
      <c r="I276" s="242" t="s">
        <v>350</v>
      </c>
      <c r="J276" s="243">
        <f>J277</f>
        <v>14386</v>
      </c>
      <c r="K276" s="279">
        <v>157650</v>
      </c>
      <c r="L276" s="375"/>
      <c r="M276" s="375"/>
      <c r="N276" s="376"/>
      <c r="O276" s="377"/>
      <c r="P276" s="377"/>
      <c r="Q276" s="281">
        <f t="shared" ref="Q276:Z276" si="77">Q277</f>
        <v>427000</v>
      </c>
      <c r="R276" s="281">
        <f t="shared" si="77"/>
        <v>427000</v>
      </c>
      <c r="S276" s="281">
        <f t="shared" si="77"/>
        <v>610000</v>
      </c>
      <c r="T276" s="281" t="e">
        <f t="shared" si="77"/>
        <v>#REF!</v>
      </c>
      <c r="U276" s="282">
        <f t="shared" si="77"/>
        <v>210200</v>
      </c>
      <c r="V276" s="282">
        <f t="shared" si="77"/>
        <v>210200</v>
      </c>
      <c r="W276" s="282">
        <f t="shared" si="77"/>
        <v>210200</v>
      </c>
      <c r="X276" s="282">
        <f t="shared" si="77"/>
        <v>210200</v>
      </c>
      <c r="Y276" s="282">
        <f t="shared" si="77"/>
        <v>210200</v>
      </c>
      <c r="Z276" s="282">
        <f t="shared" si="77"/>
        <v>210200</v>
      </c>
      <c r="AA276" s="904"/>
      <c r="AB276" s="904"/>
      <c r="AC276" s="904"/>
      <c r="AD276" s="904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</row>
    <row r="277" spans="1:87" s="268" customFormat="1" ht="168.75" customHeight="1">
      <c r="A277" s="378" t="s">
        <v>351</v>
      </c>
      <c r="B277" s="379"/>
      <c r="C277" s="380"/>
      <c r="D277" s="380"/>
      <c r="E277" s="380"/>
      <c r="F277" s="380"/>
      <c r="G277" s="380"/>
      <c r="H277" s="380"/>
      <c r="I277" s="381" t="s">
        <v>352</v>
      </c>
      <c r="J277" s="382">
        <v>14386</v>
      </c>
      <c r="K277" s="383">
        <v>157650</v>
      </c>
      <c r="L277" s="381" t="s">
        <v>186</v>
      </c>
      <c r="M277" s="249" t="s">
        <v>353</v>
      </c>
      <c r="N277" s="384" t="s">
        <v>70</v>
      </c>
      <c r="O277" s="371">
        <f>70</f>
        <v>70</v>
      </c>
      <c r="P277" s="293">
        <v>6100</v>
      </c>
      <c r="Q277" s="293">
        <f>O277*P277</f>
        <v>427000</v>
      </c>
      <c r="R277" s="385">
        <f>70*P277</f>
        <v>427000</v>
      </c>
      <c r="S277" s="386">
        <f>100*P277</f>
        <v>610000</v>
      </c>
      <c r="T277" s="286" t="e">
        <f>#REF!</f>
        <v>#REF!</v>
      </c>
      <c r="U277" s="39">
        <v>210200</v>
      </c>
      <c r="V277" s="39">
        <f>U277</f>
        <v>210200</v>
      </c>
      <c r="W277" s="39">
        <v>210200</v>
      </c>
      <c r="X277" s="39">
        <f>W277</f>
        <v>210200</v>
      </c>
      <c r="Y277" s="39">
        <v>210200</v>
      </c>
      <c r="Z277" s="40">
        <f>Y277</f>
        <v>210200</v>
      </c>
      <c r="AA277" s="904"/>
      <c r="AB277" s="904"/>
      <c r="AC277" s="904"/>
      <c r="AD277" s="904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</row>
    <row r="278" spans="1:87" s="268" customFormat="1" ht="409.5">
      <c r="A278" s="240" t="s">
        <v>354</v>
      </c>
      <c r="B278" s="241" t="s">
        <v>22</v>
      </c>
      <c r="C278" s="241" t="s">
        <v>23</v>
      </c>
      <c r="D278" s="241" t="s">
        <v>355</v>
      </c>
      <c r="E278" s="241" t="s">
        <v>25</v>
      </c>
      <c r="F278" s="241" t="s">
        <v>356</v>
      </c>
      <c r="G278" s="241" t="s">
        <v>357</v>
      </c>
      <c r="H278" s="241" t="s">
        <v>28</v>
      </c>
      <c r="I278" s="242" t="s">
        <v>358</v>
      </c>
      <c r="J278" s="243" t="e">
        <f>#REF!</f>
        <v>#REF!</v>
      </c>
      <c r="K278" s="282" t="e">
        <f>#REF!</f>
        <v>#REF!</v>
      </c>
      <c r="L278" s="387"/>
      <c r="M278" s="387"/>
      <c r="N278" s="376"/>
      <c r="O278" s="377"/>
      <c r="P278" s="377"/>
      <c r="Q278" s="279" t="e">
        <f>#REF!</f>
        <v>#REF!</v>
      </c>
      <c r="R278" s="281" t="e">
        <f>#REF!</f>
        <v>#REF!</v>
      </c>
      <c r="S278" s="281" t="e">
        <f>#REF!</f>
        <v>#REF!</v>
      </c>
      <c r="T278" s="281" t="e">
        <f>#REF!</f>
        <v>#REF!</v>
      </c>
      <c r="U278" s="282">
        <f t="shared" ref="U278:Z278" si="78">SUM(U279:U284)</f>
        <v>250000</v>
      </c>
      <c r="V278" s="282">
        <f t="shared" si="78"/>
        <v>250000</v>
      </c>
      <c r="W278" s="282">
        <f t="shared" si="78"/>
        <v>125000</v>
      </c>
      <c r="X278" s="282">
        <f t="shared" si="78"/>
        <v>125000</v>
      </c>
      <c r="Y278" s="282">
        <f t="shared" si="78"/>
        <v>125000</v>
      </c>
      <c r="Z278" s="282">
        <f t="shared" si="78"/>
        <v>125000</v>
      </c>
      <c r="AA278" s="904"/>
      <c r="AB278" s="904"/>
      <c r="AC278" s="904"/>
      <c r="AD278" s="904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</row>
    <row r="279" spans="1:87" s="268" customFormat="1" ht="93.75" customHeight="1">
      <c r="A279" s="1098" t="s">
        <v>359</v>
      </c>
      <c r="B279" s="1104"/>
      <c r="C279" s="990"/>
      <c r="D279" s="990"/>
      <c r="E279" s="990"/>
      <c r="F279" s="990"/>
      <c r="G279" s="990"/>
      <c r="H279" s="990"/>
      <c r="I279" s="1098" t="s">
        <v>360</v>
      </c>
      <c r="J279" s="1105"/>
      <c r="K279" s="1105"/>
      <c r="L279" s="1100"/>
      <c r="M279" s="388" t="s">
        <v>361</v>
      </c>
      <c r="N279" s="389" t="s">
        <v>70</v>
      </c>
      <c r="O279" s="371">
        <v>1</v>
      </c>
      <c r="P279" s="371">
        <v>80000</v>
      </c>
      <c r="Q279" s="390"/>
      <c r="R279" s="391"/>
      <c r="S279" s="392">
        <f>P279*O279</f>
        <v>80000</v>
      </c>
      <c r="T279" s="393"/>
      <c r="U279" s="39">
        <v>0</v>
      </c>
      <c r="V279" s="39">
        <f t="shared" ref="V279:V284" si="79">U279</f>
        <v>0</v>
      </c>
      <c r="W279" s="39">
        <v>80000</v>
      </c>
      <c r="X279" s="39">
        <f t="shared" ref="X279:X284" si="80">W279</f>
        <v>80000</v>
      </c>
      <c r="Y279" s="39">
        <v>0</v>
      </c>
      <c r="Z279" s="40">
        <f t="shared" ref="Z279:Z284" si="81">Y279</f>
        <v>0</v>
      </c>
      <c r="AA279" s="904"/>
      <c r="AB279" s="904"/>
      <c r="AC279" s="904"/>
      <c r="AD279" s="904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</row>
    <row r="280" spans="1:87" s="268" customFormat="1" ht="59.25" customHeight="1">
      <c r="A280" s="1098"/>
      <c r="B280" s="1104"/>
      <c r="C280" s="990"/>
      <c r="D280" s="990"/>
      <c r="E280" s="990"/>
      <c r="F280" s="990"/>
      <c r="G280" s="990"/>
      <c r="H280" s="990"/>
      <c r="I280" s="1098"/>
      <c r="J280" s="1105"/>
      <c r="K280" s="1105"/>
      <c r="L280" s="1100"/>
      <c r="M280" s="388" t="s">
        <v>362</v>
      </c>
      <c r="N280" s="389" t="s">
        <v>70</v>
      </c>
      <c r="O280" s="371">
        <v>1</v>
      </c>
      <c r="P280" s="371">
        <v>250000</v>
      </c>
      <c r="Q280" s="390"/>
      <c r="R280" s="391"/>
      <c r="S280" s="392">
        <f>P280*O280</f>
        <v>250000</v>
      </c>
      <c r="T280" s="393"/>
      <c r="U280" s="39">
        <v>0</v>
      </c>
      <c r="V280" s="39">
        <f t="shared" si="79"/>
        <v>0</v>
      </c>
      <c r="W280" s="39">
        <v>0</v>
      </c>
      <c r="X280" s="39">
        <f t="shared" si="80"/>
        <v>0</v>
      </c>
      <c r="Y280" s="39">
        <v>0</v>
      </c>
      <c r="Z280" s="40">
        <f t="shared" si="81"/>
        <v>0</v>
      </c>
      <c r="AA280" s="904"/>
      <c r="AB280" s="904"/>
      <c r="AC280" s="904"/>
      <c r="AD280" s="904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</row>
    <row r="281" spans="1:87" s="268" customFormat="1" ht="54.75" customHeight="1">
      <c r="A281" s="1098"/>
      <c r="B281" s="1104"/>
      <c r="C281" s="990"/>
      <c r="D281" s="990"/>
      <c r="E281" s="990"/>
      <c r="F281" s="990"/>
      <c r="G281" s="990"/>
      <c r="H281" s="990"/>
      <c r="I281" s="1098"/>
      <c r="J281" s="1105"/>
      <c r="K281" s="1105"/>
      <c r="L281" s="1100"/>
      <c r="M281" s="388" t="s">
        <v>363</v>
      </c>
      <c r="N281" s="389" t="s">
        <v>70</v>
      </c>
      <c r="O281" s="371">
        <v>1</v>
      </c>
      <c r="P281" s="371">
        <v>30000</v>
      </c>
      <c r="Q281" s="390"/>
      <c r="R281" s="391"/>
      <c r="S281" s="392">
        <f>P281*O281</f>
        <v>30000</v>
      </c>
      <c r="T281" s="393"/>
      <c r="U281" s="39">
        <v>0</v>
      </c>
      <c r="V281" s="39">
        <f t="shared" si="79"/>
        <v>0</v>
      </c>
      <c r="W281" s="39">
        <v>0</v>
      </c>
      <c r="X281" s="39">
        <f t="shared" si="80"/>
        <v>0</v>
      </c>
      <c r="Y281" s="39">
        <v>30000</v>
      </c>
      <c r="Z281" s="40">
        <f t="shared" si="81"/>
        <v>30000</v>
      </c>
      <c r="AA281" s="904"/>
      <c r="AB281" s="904"/>
      <c r="AC281" s="904"/>
      <c r="AD281" s="904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</row>
    <row r="282" spans="1:87" s="268" customFormat="1" ht="371.25" customHeight="1">
      <c r="A282" s="1098"/>
      <c r="B282" s="1104"/>
      <c r="C282" s="990"/>
      <c r="D282" s="990"/>
      <c r="E282" s="990"/>
      <c r="F282" s="990"/>
      <c r="G282" s="990"/>
      <c r="H282" s="990"/>
      <c r="I282" s="1098"/>
      <c r="J282" s="1105"/>
      <c r="K282" s="1105"/>
      <c r="L282" s="1100"/>
      <c r="M282" s="388" t="s">
        <v>364</v>
      </c>
      <c r="N282" s="389" t="s">
        <v>70</v>
      </c>
      <c r="O282" s="371">
        <v>1</v>
      </c>
      <c r="P282" s="371">
        <v>250000</v>
      </c>
      <c r="Q282" s="371"/>
      <c r="R282" s="391"/>
      <c r="S282" s="393"/>
      <c r="T282" s="393">
        <v>250000</v>
      </c>
      <c r="U282" s="39">
        <v>250000</v>
      </c>
      <c r="V282" s="39">
        <f t="shared" si="79"/>
        <v>250000</v>
      </c>
      <c r="W282" s="39">
        <v>0</v>
      </c>
      <c r="X282" s="39">
        <f t="shared" si="80"/>
        <v>0</v>
      </c>
      <c r="Y282" s="39">
        <v>0</v>
      </c>
      <c r="Z282" s="40">
        <f t="shared" si="81"/>
        <v>0</v>
      </c>
      <c r="AA282" s="904"/>
      <c r="AB282" s="904"/>
      <c r="AC282" s="904"/>
      <c r="AD282" s="904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</row>
    <row r="283" spans="1:87" s="268" customFormat="1" ht="56.25" customHeight="1">
      <c r="A283" s="1098"/>
      <c r="B283" s="1104"/>
      <c r="C283" s="990"/>
      <c r="D283" s="990"/>
      <c r="E283" s="990"/>
      <c r="F283" s="990"/>
      <c r="G283" s="990"/>
      <c r="H283" s="990"/>
      <c r="I283" s="1098"/>
      <c r="J283" s="1105"/>
      <c r="K283" s="1105"/>
      <c r="L283" s="1100"/>
      <c r="M283" s="388" t="s">
        <v>365</v>
      </c>
      <c r="N283" s="389" t="s">
        <v>70</v>
      </c>
      <c r="O283" s="371">
        <v>1</v>
      </c>
      <c r="P283" s="371">
        <v>35000</v>
      </c>
      <c r="Q283" s="371"/>
      <c r="R283" s="391"/>
      <c r="S283" s="393"/>
      <c r="T283" s="393">
        <v>35000</v>
      </c>
      <c r="U283" s="39">
        <v>0</v>
      </c>
      <c r="V283" s="39">
        <f t="shared" si="79"/>
        <v>0</v>
      </c>
      <c r="W283" s="39">
        <v>45000</v>
      </c>
      <c r="X283" s="39">
        <f t="shared" si="80"/>
        <v>45000</v>
      </c>
      <c r="Y283" s="39">
        <v>65000</v>
      </c>
      <c r="Z283" s="40">
        <f t="shared" si="81"/>
        <v>65000</v>
      </c>
      <c r="AA283" s="904"/>
      <c r="AB283" s="904"/>
      <c r="AC283" s="904"/>
      <c r="AD283" s="904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</row>
    <row r="284" spans="1:87" s="268" customFormat="1" ht="60.75">
      <c r="A284" s="1098"/>
      <c r="B284" s="1104"/>
      <c r="C284" s="990"/>
      <c r="D284" s="990"/>
      <c r="E284" s="990"/>
      <c r="F284" s="990"/>
      <c r="G284" s="990"/>
      <c r="H284" s="990"/>
      <c r="I284" s="1098"/>
      <c r="J284" s="1105"/>
      <c r="K284" s="1105"/>
      <c r="L284" s="1100"/>
      <c r="M284" s="388" t="s">
        <v>366</v>
      </c>
      <c r="N284" s="389" t="s">
        <v>70</v>
      </c>
      <c r="O284" s="371">
        <v>1</v>
      </c>
      <c r="P284" s="371">
        <v>30000</v>
      </c>
      <c r="Q284" s="371"/>
      <c r="R284" s="391"/>
      <c r="S284" s="393"/>
      <c r="T284" s="393">
        <v>30000</v>
      </c>
      <c r="U284" s="39">
        <v>0</v>
      </c>
      <c r="V284" s="39">
        <f t="shared" si="79"/>
        <v>0</v>
      </c>
      <c r="W284" s="39">
        <v>0</v>
      </c>
      <c r="X284" s="39">
        <f t="shared" si="80"/>
        <v>0</v>
      </c>
      <c r="Y284" s="39">
        <v>30000</v>
      </c>
      <c r="Z284" s="40">
        <f t="shared" si="81"/>
        <v>30000</v>
      </c>
      <c r="AA284" s="904"/>
      <c r="AB284" s="904"/>
      <c r="AC284" s="904"/>
      <c r="AD284" s="904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</row>
    <row r="285" spans="1:87" s="268" customFormat="1" ht="409.5">
      <c r="A285" s="240" t="s">
        <v>367</v>
      </c>
      <c r="B285" s="394" t="s">
        <v>22</v>
      </c>
      <c r="C285" s="394" t="s">
        <v>368</v>
      </c>
      <c r="D285" s="394" t="s">
        <v>369</v>
      </c>
      <c r="E285" s="394" t="s">
        <v>370</v>
      </c>
      <c r="F285" s="394" t="s">
        <v>371</v>
      </c>
      <c r="G285" s="394" t="s">
        <v>372</v>
      </c>
      <c r="H285" s="394" t="s">
        <v>28</v>
      </c>
      <c r="I285" s="242" t="s">
        <v>373</v>
      </c>
      <c r="J285" s="395">
        <v>654100</v>
      </c>
      <c r="K285" s="396">
        <v>1806099.75</v>
      </c>
      <c r="L285" s="375"/>
      <c r="M285" s="375"/>
      <c r="N285" s="376"/>
      <c r="O285" s="377"/>
      <c r="P285" s="377"/>
      <c r="Q285" s="377">
        <f t="shared" ref="Q285:Z285" si="82">Q286</f>
        <v>2577255</v>
      </c>
      <c r="R285" s="397">
        <f t="shared" si="82"/>
        <v>2577255</v>
      </c>
      <c r="S285" s="397">
        <f t="shared" si="82"/>
        <v>2577255</v>
      </c>
      <c r="T285" s="397">
        <f t="shared" si="82"/>
        <v>2577255</v>
      </c>
      <c r="U285" s="282">
        <f t="shared" si="82"/>
        <v>1477255</v>
      </c>
      <c r="V285" s="282">
        <f t="shared" si="82"/>
        <v>1477255</v>
      </c>
      <c r="W285" s="282">
        <f t="shared" si="82"/>
        <v>2408133</v>
      </c>
      <c r="X285" s="282">
        <f t="shared" si="82"/>
        <v>2408133</v>
      </c>
      <c r="Y285" s="282">
        <f t="shared" si="82"/>
        <v>2408133</v>
      </c>
      <c r="Z285" s="282">
        <f t="shared" si="82"/>
        <v>2408133</v>
      </c>
      <c r="AA285" s="904"/>
      <c r="AB285" s="904"/>
      <c r="AC285" s="904"/>
      <c r="AD285" s="904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</row>
    <row r="286" spans="1:87" s="268" customFormat="1" ht="122.25" customHeight="1">
      <c r="A286" s="1098" t="s">
        <v>374</v>
      </c>
      <c r="B286" s="1099"/>
      <c r="C286" s="1099"/>
      <c r="D286" s="1099"/>
      <c r="E286" s="1099"/>
      <c r="F286" s="1099"/>
      <c r="G286" s="1099"/>
      <c r="H286" s="1099"/>
      <c r="I286" s="249" t="s">
        <v>375</v>
      </c>
      <c r="J286" s="255">
        <v>654100</v>
      </c>
      <c r="K286" s="287">
        <v>1806099.75</v>
      </c>
      <c r="L286" s="398"/>
      <c r="M286" s="398"/>
      <c r="N286" s="399"/>
      <c r="O286" s="285">
        <f>O288+O287</f>
        <v>2700</v>
      </c>
      <c r="P286" s="285">
        <f>P288+P287</f>
        <v>2260.75</v>
      </c>
      <c r="Q286" s="285">
        <v>2577255</v>
      </c>
      <c r="R286" s="286">
        <v>2577255</v>
      </c>
      <c r="S286" s="286">
        <v>2577255</v>
      </c>
      <c r="T286" s="286">
        <v>2577255</v>
      </c>
      <c r="U286" s="39">
        <f>U287+U288</f>
        <v>1477255</v>
      </c>
      <c r="V286" s="39">
        <f>U286</f>
        <v>1477255</v>
      </c>
      <c r="W286" s="39">
        <f>W287+W288</f>
        <v>2408133</v>
      </c>
      <c r="X286" s="39">
        <f>W286</f>
        <v>2408133</v>
      </c>
      <c r="Y286" s="39">
        <f>Y287+Y288</f>
        <v>2408133</v>
      </c>
      <c r="Z286" s="40">
        <f>Y286</f>
        <v>2408133</v>
      </c>
      <c r="AA286" s="904"/>
      <c r="AB286" s="904"/>
      <c r="AC286" s="904"/>
      <c r="AD286" s="904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</row>
    <row r="287" spans="1:87" s="268" customFormat="1" ht="252" customHeight="1">
      <c r="A287" s="984"/>
      <c r="B287" s="1099"/>
      <c r="C287" s="1099"/>
      <c r="D287" s="1099"/>
      <c r="E287" s="1099"/>
      <c r="F287" s="1099"/>
      <c r="G287" s="1099"/>
      <c r="H287" s="1099"/>
      <c r="I287" s="249" t="s">
        <v>376</v>
      </c>
      <c r="J287" s="259"/>
      <c r="K287" s="259">
        <v>218319.75</v>
      </c>
      <c r="L287" s="1100" t="s">
        <v>377</v>
      </c>
      <c r="M287" s="34" t="s">
        <v>378</v>
      </c>
      <c r="N287" s="1101" t="s">
        <v>379</v>
      </c>
      <c r="O287" s="260">
        <v>300</v>
      </c>
      <c r="P287" s="259">
        <v>1356.45</v>
      </c>
      <c r="Q287" s="259">
        <v>406935</v>
      </c>
      <c r="R287" s="400">
        <v>406935</v>
      </c>
      <c r="S287" s="401">
        <v>406935</v>
      </c>
      <c r="T287" s="401">
        <v>406935</v>
      </c>
      <c r="U287" s="259">
        <v>683857.05</v>
      </c>
      <c r="V287" s="39">
        <f>U287</f>
        <v>683857.05</v>
      </c>
      <c r="W287" s="39">
        <v>406935</v>
      </c>
      <c r="X287" s="39">
        <f>W287</f>
        <v>406935</v>
      </c>
      <c r="Y287" s="39">
        <v>406935</v>
      </c>
      <c r="Z287" s="40">
        <f>Y287</f>
        <v>406935</v>
      </c>
      <c r="AA287" s="904"/>
      <c r="AB287" s="904"/>
      <c r="AC287" s="904"/>
      <c r="AD287" s="904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</row>
    <row r="288" spans="1:87" s="268" customFormat="1" ht="246" customHeight="1">
      <c r="A288" s="984"/>
      <c r="B288" s="1102"/>
      <c r="C288" s="984"/>
      <c r="D288" s="984"/>
      <c r="E288" s="984"/>
      <c r="F288" s="984"/>
      <c r="G288" s="984"/>
      <c r="H288" s="984"/>
      <c r="I288" s="249" t="s">
        <v>380</v>
      </c>
      <c r="J288" s="259"/>
      <c r="K288" s="259">
        <v>1587780</v>
      </c>
      <c r="L288" s="990"/>
      <c r="M288" s="34" t="s">
        <v>381</v>
      </c>
      <c r="N288" s="1101"/>
      <c r="O288" s="260">
        <v>2400</v>
      </c>
      <c r="P288" s="259">
        <v>904.3</v>
      </c>
      <c r="Q288" s="259">
        <v>2170320</v>
      </c>
      <c r="R288" s="400">
        <v>2170320</v>
      </c>
      <c r="S288" s="401">
        <v>2170320</v>
      </c>
      <c r="T288" s="401">
        <v>2170320</v>
      </c>
      <c r="U288" s="259">
        <v>793397.95</v>
      </c>
      <c r="V288" s="39">
        <f>U288</f>
        <v>793397.95</v>
      </c>
      <c r="W288" s="39">
        <v>2001198</v>
      </c>
      <c r="X288" s="39">
        <f>W288</f>
        <v>2001198</v>
      </c>
      <c r="Y288" s="39">
        <v>2001198</v>
      </c>
      <c r="Z288" s="40">
        <f>Y288</f>
        <v>2001198</v>
      </c>
      <c r="AA288" s="904"/>
      <c r="AB288" s="904"/>
      <c r="AC288" s="904"/>
      <c r="AD288" s="904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</row>
    <row r="289" spans="1:87" s="268" customFormat="1" ht="407.25" customHeight="1">
      <c r="A289" s="374" t="s">
        <v>382</v>
      </c>
      <c r="B289" s="394" t="s">
        <v>22</v>
      </c>
      <c r="C289" s="394" t="s">
        <v>368</v>
      </c>
      <c r="D289" s="394" t="s">
        <v>369</v>
      </c>
      <c r="E289" s="394" t="s">
        <v>370</v>
      </c>
      <c r="F289" s="394" t="s">
        <v>383</v>
      </c>
      <c r="G289" s="394" t="s">
        <v>384</v>
      </c>
      <c r="H289" s="394" t="s">
        <v>28</v>
      </c>
      <c r="I289" s="242" t="s">
        <v>385</v>
      </c>
      <c r="J289" s="402">
        <f>J290</f>
        <v>1470000</v>
      </c>
      <c r="K289" s="402">
        <f t="shared" ref="K289:Z289" si="83">K290</f>
        <v>2793651.75</v>
      </c>
      <c r="L289" s="402"/>
      <c r="M289" s="402"/>
      <c r="N289" s="244"/>
      <c r="O289" s="402"/>
      <c r="P289" s="402"/>
      <c r="Q289" s="402">
        <f t="shared" si="83"/>
        <v>3935764</v>
      </c>
      <c r="R289" s="403">
        <f t="shared" si="83"/>
        <v>3935764</v>
      </c>
      <c r="S289" s="404">
        <f t="shared" si="83"/>
        <v>3935764</v>
      </c>
      <c r="T289" s="404">
        <f t="shared" si="83"/>
        <v>3935764</v>
      </c>
      <c r="U289" s="243">
        <f t="shared" si="83"/>
        <v>5035764</v>
      </c>
      <c r="V289" s="243">
        <f t="shared" si="83"/>
        <v>5035764</v>
      </c>
      <c r="W289" s="243">
        <f t="shared" si="83"/>
        <v>3724869</v>
      </c>
      <c r="X289" s="243">
        <f t="shared" si="83"/>
        <v>3724869</v>
      </c>
      <c r="Y289" s="243">
        <f t="shared" si="83"/>
        <v>3724869</v>
      </c>
      <c r="Z289" s="243">
        <f t="shared" si="83"/>
        <v>3724869</v>
      </c>
      <c r="AA289" s="904"/>
      <c r="AB289" s="904"/>
      <c r="AC289" s="904"/>
      <c r="AD289" s="904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</row>
    <row r="290" spans="1:87" s="268" customFormat="1" ht="125.25" customHeight="1">
      <c r="A290" s="1098" t="s">
        <v>374</v>
      </c>
      <c r="B290" s="1099"/>
      <c r="C290" s="990"/>
      <c r="D290" s="990"/>
      <c r="E290" s="990"/>
      <c r="F290" s="990"/>
      <c r="G290" s="990"/>
      <c r="H290" s="990"/>
      <c r="I290" s="249" t="s">
        <v>386</v>
      </c>
      <c r="J290" s="287">
        <v>1470000</v>
      </c>
      <c r="K290" s="287">
        <v>2793651.75</v>
      </c>
      <c r="L290" s="1103" t="s">
        <v>387</v>
      </c>
      <c r="M290" s="251"/>
      <c r="N290" s="399"/>
      <c r="O290" s="405">
        <v>6420</v>
      </c>
      <c r="P290" s="405">
        <v>5622.52</v>
      </c>
      <c r="Q290" s="405">
        <v>3935764</v>
      </c>
      <c r="R290" s="391">
        <v>3935764</v>
      </c>
      <c r="S290" s="391">
        <v>3935764</v>
      </c>
      <c r="T290" s="391">
        <v>3935764</v>
      </c>
      <c r="U290" s="406">
        <f t="shared" ref="U290:Z290" si="84">U291+U292+U293</f>
        <v>5035764</v>
      </c>
      <c r="V290" s="406">
        <f t="shared" si="84"/>
        <v>5035764</v>
      </c>
      <c r="W290" s="406">
        <f t="shared" si="84"/>
        <v>3724869</v>
      </c>
      <c r="X290" s="406">
        <f t="shared" si="84"/>
        <v>3724869</v>
      </c>
      <c r="Y290" s="406">
        <f t="shared" si="84"/>
        <v>3724869</v>
      </c>
      <c r="Z290" s="406">
        <f t="shared" si="84"/>
        <v>3724869</v>
      </c>
      <c r="AA290" s="904"/>
      <c r="AB290" s="904"/>
      <c r="AC290" s="904"/>
      <c r="AD290" s="904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</row>
    <row r="291" spans="1:87" s="268" customFormat="1" ht="257.25" customHeight="1">
      <c r="A291" s="982"/>
      <c r="B291" s="990"/>
      <c r="C291" s="990"/>
      <c r="D291" s="990"/>
      <c r="E291" s="990"/>
      <c r="F291" s="990"/>
      <c r="G291" s="990"/>
      <c r="H291" s="990"/>
      <c r="I291" s="249" t="s">
        <v>388</v>
      </c>
      <c r="J291" s="259"/>
      <c r="K291" s="259">
        <v>84978</v>
      </c>
      <c r="L291" s="990"/>
      <c r="M291" s="407" t="s">
        <v>389</v>
      </c>
      <c r="N291" s="1101" t="s">
        <v>379</v>
      </c>
      <c r="O291" s="260">
        <v>500</v>
      </c>
      <c r="P291" s="259">
        <v>775.52</v>
      </c>
      <c r="Q291" s="259">
        <v>387760</v>
      </c>
      <c r="R291" s="400">
        <v>387760</v>
      </c>
      <c r="S291" s="401">
        <v>387760</v>
      </c>
      <c r="T291" s="401">
        <v>387760</v>
      </c>
      <c r="U291" s="259">
        <v>444563.84</v>
      </c>
      <c r="V291" s="259">
        <f>U291</f>
        <v>444563.84</v>
      </c>
      <c r="W291" s="39">
        <v>366976</v>
      </c>
      <c r="X291" s="39">
        <f>W291</f>
        <v>366976</v>
      </c>
      <c r="Y291" s="39">
        <v>366976</v>
      </c>
      <c r="Z291" s="40">
        <f>Y291</f>
        <v>366976</v>
      </c>
      <c r="AA291" s="904"/>
      <c r="AB291" s="904"/>
      <c r="AC291" s="904"/>
      <c r="AD291" s="904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</row>
    <row r="292" spans="1:87" s="268" customFormat="1" ht="229.5" customHeight="1">
      <c r="A292" s="982"/>
      <c r="B292" s="990"/>
      <c r="C292" s="990"/>
      <c r="D292" s="990"/>
      <c r="E292" s="990"/>
      <c r="F292" s="990"/>
      <c r="G292" s="990"/>
      <c r="H292" s="990"/>
      <c r="I292" s="249" t="s">
        <v>390</v>
      </c>
      <c r="J292" s="259"/>
      <c r="K292" s="259">
        <v>626712.75</v>
      </c>
      <c r="L292" s="990"/>
      <c r="M292" s="407" t="s">
        <v>391</v>
      </c>
      <c r="N292" s="1101"/>
      <c r="O292" s="260">
        <v>1040</v>
      </c>
      <c r="P292" s="259">
        <v>1454.1</v>
      </c>
      <c r="Q292" s="259">
        <v>1512264</v>
      </c>
      <c r="R292" s="400">
        <v>1512264</v>
      </c>
      <c r="S292" s="401">
        <v>1512264</v>
      </c>
      <c r="T292" s="401">
        <v>1512264</v>
      </c>
      <c r="U292" s="259">
        <v>1859092.38</v>
      </c>
      <c r="V292" s="259">
        <f>U292</f>
        <v>1859092.38</v>
      </c>
      <c r="W292" s="39">
        <v>1431207</v>
      </c>
      <c r="X292" s="39">
        <f>W292</f>
        <v>1431207</v>
      </c>
      <c r="Y292" s="39">
        <v>1431207</v>
      </c>
      <c r="Z292" s="40">
        <f>Y292</f>
        <v>1431207</v>
      </c>
      <c r="AA292" s="904"/>
      <c r="AB292" s="904"/>
      <c r="AC292" s="904"/>
      <c r="AD292" s="904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</row>
    <row r="293" spans="1:87" s="268" customFormat="1" ht="249.75" customHeight="1">
      <c r="A293" s="982"/>
      <c r="B293" s="990"/>
      <c r="C293" s="990"/>
      <c r="D293" s="990"/>
      <c r="E293" s="990"/>
      <c r="F293" s="990"/>
      <c r="G293" s="990"/>
      <c r="H293" s="990"/>
      <c r="I293" s="249" t="s">
        <v>392</v>
      </c>
      <c r="J293" s="259"/>
      <c r="K293" s="259">
        <v>2081961</v>
      </c>
      <c r="L293" s="990"/>
      <c r="M293" s="407" t="s">
        <v>393</v>
      </c>
      <c r="N293" s="1101"/>
      <c r="O293" s="260">
        <v>600</v>
      </c>
      <c r="P293" s="259">
        <v>3392.9</v>
      </c>
      <c r="Q293" s="259">
        <v>2035740</v>
      </c>
      <c r="R293" s="400">
        <v>2035740</v>
      </c>
      <c r="S293" s="401">
        <v>2035740</v>
      </c>
      <c r="T293" s="401">
        <v>2035740</v>
      </c>
      <c r="U293" s="259">
        <v>2732107.78</v>
      </c>
      <c r="V293" s="259">
        <f>U293</f>
        <v>2732107.78</v>
      </c>
      <c r="W293" s="39">
        <v>1926686</v>
      </c>
      <c r="X293" s="39">
        <f>W293</f>
        <v>1926686</v>
      </c>
      <c r="Y293" s="39">
        <v>1926686</v>
      </c>
      <c r="Z293" s="40">
        <f>Y293</f>
        <v>1926686</v>
      </c>
      <c r="AA293" s="904"/>
      <c r="AB293" s="904"/>
      <c r="AC293" s="904"/>
      <c r="AD293" s="904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</row>
    <row r="294" spans="1:87" s="268" customFormat="1" ht="189.75" customHeight="1">
      <c r="A294" s="408" t="s">
        <v>394</v>
      </c>
      <c r="B294" s="409">
        <v>811</v>
      </c>
      <c r="C294" s="409" t="s">
        <v>395</v>
      </c>
      <c r="D294" s="228" t="s">
        <v>396</v>
      </c>
      <c r="E294" s="409" t="s">
        <v>25</v>
      </c>
      <c r="F294" s="409"/>
      <c r="G294" s="409" t="s">
        <v>397</v>
      </c>
      <c r="H294" s="409" t="s">
        <v>28</v>
      </c>
      <c r="I294" s="190" t="s">
        <v>398</v>
      </c>
      <c r="J294" s="410"/>
      <c r="K294" s="410"/>
      <c r="L294" s="411" t="s">
        <v>112</v>
      </c>
      <c r="M294" s="410"/>
      <c r="N294" s="412"/>
      <c r="O294" s="410"/>
      <c r="P294" s="410"/>
      <c r="Q294" s="410"/>
      <c r="R294" s="231"/>
      <c r="S294" s="410"/>
      <c r="T294" s="410"/>
      <c r="U294" s="232">
        <f t="shared" ref="U294:Z294" si="85">U295</f>
        <v>770000</v>
      </c>
      <c r="V294" s="232">
        <f t="shared" si="85"/>
        <v>770000</v>
      </c>
      <c r="W294" s="232">
        <f t="shared" si="85"/>
        <v>0</v>
      </c>
      <c r="X294" s="232">
        <f t="shared" si="85"/>
        <v>0</v>
      </c>
      <c r="Y294" s="232">
        <f t="shared" si="85"/>
        <v>0</v>
      </c>
      <c r="Z294" s="232">
        <f t="shared" si="85"/>
        <v>0</v>
      </c>
      <c r="AA294" s="904"/>
      <c r="AB294" s="904"/>
      <c r="AC294" s="904"/>
      <c r="AD294" s="904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</row>
    <row r="295" spans="1:87" s="268" customFormat="1" ht="104.25" customHeight="1">
      <c r="A295" s="413" t="s">
        <v>399</v>
      </c>
      <c r="B295" s="413"/>
      <c r="C295" s="413"/>
      <c r="D295" s="413"/>
      <c r="E295" s="413"/>
      <c r="F295" s="413"/>
      <c r="G295" s="414"/>
      <c r="H295" s="413"/>
      <c r="I295" s="415" t="s">
        <v>400</v>
      </c>
      <c r="J295" s="416"/>
      <c r="K295" s="416"/>
      <c r="L295" s="380"/>
      <c r="M295" s="417" t="s">
        <v>401</v>
      </c>
      <c r="N295" s="418"/>
      <c r="O295" s="416"/>
      <c r="P295" s="416"/>
      <c r="Q295" s="416"/>
      <c r="R295" s="419"/>
      <c r="S295" s="416"/>
      <c r="T295" s="416"/>
      <c r="U295" s="420">
        <v>770000</v>
      </c>
      <c r="V295" s="420">
        <f>U295</f>
        <v>770000</v>
      </c>
      <c r="W295" s="420">
        <v>0</v>
      </c>
      <c r="X295" s="420">
        <f>W295</f>
        <v>0</v>
      </c>
      <c r="Y295" s="420">
        <f>X295</f>
        <v>0</v>
      </c>
      <c r="Z295" s="420">
        <f>Y295</f>
        <v>0</v>
      </c>
      <c r="AA295" s="904"/>
      <c r="AB295" s="904"/>
      <c r="AC295" s="904"/>
      <c r="AD295" s="904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</row>
    <row r="296" spans="1:87" s="268" customFormat="1" ht="378" customHeight="1">
      <c r="A296" s="421" t="s">
        <v>402</v>
      </c>
      <c r="B296" s="422">
        <v>811</v>
      </c>
      <c r="C296" s="228" t="s">
        <v>23</v>
      </c>
      <c r="D296" s="422" t="s">
        <v>403</v>
      </c>
      <c r="E296" s="422">
        <v>612</v>
      </c>
      <c r="F296" s="422"/>
      <c r="G296" s="423" t="s">
        <v>404</v>
      </c>
      <c r="H296" s="422">
        <v>1111</v>
      </c>
      <c r="I296" s="242" t="s">
        <v>350</v>
      </c>
      <c r="J296" s="424"/>
      <c r="K296" s="424"/>
      <c r="L296" s="425"/>
      <c r="M296" s="426"/>
      <c r="N296" s="412"/>
      <c r="O296" s="424"/>
      <c r="P296" s="424"/>
      <c r="Q296" s="424"/>
      <c r="R296" s="427"/>
      <c r="S296" s="424"/>
      <c r="T296" s="424"/>
      <c r="U296" s="232">
        <f t="shared" ref="U296:Z296" si="86">U297+U298+U299</f>
        <v>3000000</v>
      </c>
      <c r="V296" s="232">
        <f t="shared" si="86"/>
        <v>3000000</v>
      </c>
      <c r="W296" s="232">
        <f t="shared" si="86"/>
        <v>0</v>
      </c>
      <c r="X296" s="232">
        <f t="shared" si="86"/>
        <v>0</v>
      </c>
      <c r="Y296" s="232">
        <f t="shared" si="86"/>
        <v>0</v>
      </c>
      <c r="Z296" s="232">
        <f t="shared" si="86"/>
        <v>0</v>
      </c>
      <c r="AA296" s="904"/>
      <c r="AB296" s="904"/>
      <c r="AC296" s="904"/>
      <c r="AD296" s="904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</row>
    <row r="297" spans="1:87" s="268" customFormat="1" ht="115.5" customHeight="1">
      <c r="A297" s="1082" t="s">
        <v>359</v>
      </c>
      <c r="B297" s="1085"/>
      <c r="C297" s="1086"/>
      <c r="D297" s="1086"/>
      <c r="E297" s="1086"/>
      <c r="F297" s="1086"/>
      <c r="G297" s="1086"/>
      <c r="H297" s="1087"/>
      <c r="I297" s="1082" t="s">
        <v>405</v>
      </c>
      <c r="J297" s="416"/>
      <c r="K297" s="416"/>
      <c r="L297" s="380"/>
      <c r="M297" s="417" t="s">
        <v>406</v>
      </c>
      <c r="N297" s="418"/>
      <c r="O297" s="416"/>
      <c r="P297" s="416"/>
      <c r="Q297" s="416"/>
      <c r="R297" s="419"/>
      <c r="S297" s="416"/>
      <c r="T297" s="416"/>
      <c r="U297" s="420">
        <v>828462.6</v>
      </c>
      <c r="V297" s="420">
        <f>U297</f>
        <v>828462.6</v>
      </c>
      <c r="W297" s="420">
        <v>0</v>
      </c>
      <c r="X297" s="420">
        <v>0</v>
      </c>
      <c r="Y297" s="420">
        <v>0</v>
      </c>
      <c r="Z297" s="420">
        <v>0</v>
      </c>
      <c r="AA297" s="904"/>
      <c r="AB297" s="904"/>
      <c r="AC297" s="904"/>
      <c r="AD297" s="904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</row>
    <row r="298" spans="1:87" s="268" customFormat="1" ht="42" customHeight="1">
      <c r="A298" s="1083"/>
      <c r="B298" s="1088"/>
      <c r="C298" s="1089"/>
      <c r="D298" s="1089"/>
      <c r="E298" s="1089"/>
      <c r="F298" s="1089"/>
      <c r="G298" s="1089"/>
      <c r="H298" s="1090"/>
      <c r="I298" s="1083"/>
      <c r="J298" s="416"/>
      <c r="K298" s="416"/>
      <c r="L298" s="380"/>
      <c r="M298" s="417" t="s">
        <v>407</v>
      </c>
      <c r="N298" s="418"/>
      <c r="O298" s="416"/>
      <c r="P298" s="416"/>
      <c r="Q298" s="416"/>
      <c r="R298" s="419"/>
      <c r="S298" s="416"/>
      <c r="T298" s="416"/>
      <c r="U298" s="420">
        <v>1737537.4</v>
      </c>
      <c r="V298" s="420">
        <f>U298</f>
        <v>1737537.4</v>
      </c>
      <c r="W298" s="420">
        <v>0</v>
      </c>
      <c r="X298" s="420">
        <v>0</v>
      </c>
      <c r="Y298" s="420">
        <v>0</v>
      </c>
      <c r="Z298" s="420">
        <v>0</v>
      </c>
      <c r="AA298" s="904"/>
      <c r="AB298" s="904"/>
      <c r="AC298" s="904"/>
      <c r="AD298" s="904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</row>
    <row r="299" spans="1:87" s="268" customFormat="1" ht="64.5" customHeight="1">
      <c r="A299" s="1084"/>
      <c r="B299" s="1091"/>
      <c r="C299" s="1092"/>
      <c r="D299" s="1092"/>
      <c r="E299" s="1092"/>
      <c r="F299" s="1092"/>
      <c r="G299" s="1092"/>
      <c r="H299" s="1093"/>
      <c r="I299" s="1084"/>
      <c r="J299" s="416"/>
      <c r="K299" s="416"/>
      <c r="L299" s="380"/>
      <c r="M299" s="417" t="s">
        <v>408</v>
      </c>
      <c r="N299" s="418"/>
      <c r="O299" s="416"/>
      <c r="P299" s="416"/>
      <c r="Q299" s="416"/>
      <c r="R299" s="419"/>
      <c r="S299" s="416"/>
      <c r="T299" s="416"/>
      <c r="U299" s="420">
        <v>434000</v>
      </c>
      <c r="V299" s="420">
        <f>U299</f>
        <v>434000</v>
      </c>
      <c r="W299" s="420">
        <v>0</v>
      </c>
      <c r="X299" s="420">
        <v>0</v>
      </c>
      <c r="Y299" s="420">
        <v>0</v>
      </c>
      <c r="Z299" s="420">
        <v>0</v>
      </c>
      <c r="AA299" s="904"/>
      <c r="AB299" s="904"/>
      <c r="AC299" s="904"/>
      <c r="AD299" s="904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</row>
    <row r="300" spans="1:87" s="268" customFormat="1" ht="209.25" customHeight="1">
      <c r="A300" s="428" t="s">
        <v>409</v>
      </c>
      <c r="B300" s="429">
        <v>811</v>
      </c>
      <c r="C300" s="430" t="s">
        <v>410</v>
      </c>
      <c r="D300" s="431" t="s">
        <v>411</v>
      </c>
      <c r="E300" s="429">
        <v>612</v>
      </c>
      <c r="F300" s="429"/>
      <c r="G300" s="429">
        <v>53004</v>
      </c>
      <c r="H300" s="429">
        <v>1121</v>
      </c>
      <c r="I300" s="242" t="s">
        <v>350</v>
      </c>
      <c r="J300" s="424"/>
      <c r="K300" s="424"/>
      <c r="L300" s="425"/>
      <c r="M300" s="426"/>
      <c r="N300" s="412"/>
      <c r="O300" s="424"/>
      <c r="P300" s="424"/>
      <c r="Q300" s="424"/>
      <c r="R300" s="427"/>
      <c r="S300" s="424"/>
      <c r="T300" s="424"/>
      <c r="U300" s="232">
        <f t="shared" ref="U300:Z300" si="87">U301+U302+U303</f>
        <v>8177200</v>
      </c>
      <c r="V300" s="232">
        <f t="shared" si="87"/>
        <v>8177200</v>
      </c>
      <c r="W300" s="232">
        <f t="shared" si="87"/>
        <v>0</v>
      </c>
      <c r="X300" s="232">
        <f t="shared" si="87"/>
        <v>0</v>
      </c>
      <c r="Y300" s="232">
        <f t="shared" si="87"/>
        <v>0</v>
      </c>
      <c r="Z300" s="232">
        <f t="shared" si="87"/>
        <v>0</v>
      </c>
      <c r="AA300" s="904"/>
      <c r="AB300" s="904"/>
      <c r="AC300" s="904"/>
      <c r="AD300" s="904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</row>
    <row r="301" spans="1:87" s="268" customFormat="1" ht="64.5" customHeight="1">
      <c r="A301" s="432" t="s">
        <v>163</v>
      </c>
      <c r="B301" s="433"/>
      <c r="C301" s="434"/>
      <c r="D301" s="434"/>
      <c r="E301" s="434"/>
      <c r="F301" s="434"/>
      <c r="G301" s="434"/>
      <c r="H301" s="435"/>
      <c r="I301" s="432" t="s">
        <v>412</v>
      </c>
      <c r="J301" s="416"/>
      <c r="K301" s="416"/>
      <c r="L301" s="380"/>
      <c r="M301" s="417"/>
      <c r="N301" s="418"/>
      <c r="O301" s="416"/>
      <c r="P301" s="416"/>
      <c r="Q301" s="416"/>
      <c r="R301" s="419"/>
      <c r="S301" s="416"/>
      <c r="T301" s="416"/>
      <c r="U301" s="420">
        <v>5863900</v>
      </c>
      <c r="V301" s="420">
        <v>5863900</v>
      </c>
      <c r="W301" s="420">
        <v>0</v>
      </c>
      <c r="X301" s="420">
        <v>0</v>
      </c>
      <c r="Y301" s="420">
        <v>0</v>
      </c>
      <c r="Z301" s="420">
        <v>0</v>
      </c>
      <c r="AA301" s="904"/>
      <c r="AB301" s="904"/>
      <c r="AC301" s="904"/>
      <c r="AD301" s="904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</row>
    <row r="302" spans="1:87" s="268" customFormat="1" ht="116.25" customHeight="1">
      <c r="A302" s="432" t="s">
        <v>359</v>
      </c>
      <c r="B302" s="433"/>
      <c r="C302" s="434"/>
      <c r="D302" s="434"/>
      <c r="E302" s="434"/>
      <c r="F302" s="434"/>
      <c r="G302" s="434"/>
      <c r="H302" s="435"/>
      <c r="I302" s="432" t="s">
        <v>413</v>
      </c>
      <c r="J302" s="416"/>
      <c r="K302" s="416"/>
      <c r="L302" s="380"/>
      <c r="M302" s="417"/>
      <c r="N302" s="418"/>
      <c r="O302" s="416"/>
      <c r="P302" s="416"/>
      <c r="Q302" s="416"/>
      <c r="R302" s="419"/>
      <c r="S302" s="416"/>
      <c r="T302" s="416"/>
      <c r="U302" s="420">
        <v>1943300</v>
      </c>
      <c r="V302" s="420">
        <v>1943300</v>
      </c>
      <c r="W302" s="420">
        <v>0</v>
      </c>
      <c r="X302" s="420">
        <v>0</v>
      </c>
      <c r="Y302" s="420">
        <v>0</v>
      </c>
      <c r="Z302" s="420">
        <v>0</v>
      </c>
      <c r="AA302" s="904"/>
      <c r="AB302" s="904"/>
      <c r="AC302" s="904"/>
      <c r="AD302" s="904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</row>
    <row r="303" spans="1:87" s="268" customFormat="1" ht="113.25" customHeight="1">
      <c r="A303" s="432" t="s">
        <v>193</v>
      </c>
      <c r="B303" s="433"/>
      <c r="C303" s="434"/>
      <c r="D303" s="434"/>
      <c r="E303" s="434"/>
      <c r="F303" s="434"/>
      <c r="G303" s="434"/>
      <c r="H303" s="435"/>
      <c r="I303" s="432" t="s">
        <v>414</v>
      </c>
      <c r="J303" s="416"/>
      <c r="K303" s="416"/>
      <c r="L303" s="380"/>
      <c r="M303" s="417"/>
      <c r="N303" s="418"/>
      <c r="O303" s="416"/>
      <c r="P303" s="416"/>
      <c r="Q303" s="416"/>
      <c r="R303" s="419"/>
      <c r="S303" s="416"/>
      <c r="T303" s="416"/>
      <c r="U303" s="420">
        <v>370000</v>
      </c>
      <c r="V303" s="420">
        <f>U303</f>
        <v>370000</v>
      </c>
      <c r="W303" s="420">
        <v>0</v>
      </c>
      <c r="X303" s="420">
        <v>0</v>
      </c>
      <c r="Y303" s="420">
        <v>0</v>
      </c>
      <c r="Z303" s="420">
        <v>0</v>
      </c>
      <c r="AA303" s="904"/>
      <c r="AB303" s="904"/>
      <c r="AC303" s="904"/>
      <c r="AD303" s="904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</row>
    <row r="304" spans="1:87" s="268" customFormat="1" ht="135.75" customHeight="1">
      <c r="A304" s="436" t="s">
        <v>415</v>
      </c>
      <c r="B304" s="437" t="s">
        <v>22</v>
      </c>
      <c r="C304" s="437" t="s">
        <v>410</v>
      </c>
      <c r="D304" s="437" t="s">
        <v>403</v>
      </c>
      <c r="E304" s="437" t="s">
        <v>25</v>
      </c>
      <c r="F304" s="437"/>
      <c r="G304" s="437" t="s">
        <v>416</v>
      </c>
      <c r="H304" s="437" t="s">
        <v>28</v>
      </c>
      <c r="I304" s="242" t="s">
        <v>350</v>
      </c>
      <c r="J304" s="424"/>
      <c r="K304" s="424"/>
      <c r="L304" s="425"/>
      <c r="M304" s="426"/>
      <c r="N304" s="412"/>
      <c r="O304" s="424"/>
      <c r="P304" s="424"/>
      <c r="Q304" s="424"/>
      <c r="R304" s="427"/>
      <c r="S304" s="424"/>
      <c r="T304" s="424"/>
      <c r="U304" s="232">
        <f t="shared" ref="U304:Z304" si="88">U305</f>
        <v>2300000</v>
      </c>
      <c r="V304" s="232">
        <f t="shared" si="88"/>
        <v>2300000</v>
      </c>
      <c r="W304" s="232">
        <f t="shared" si="88"/>
        <v>0</v>
      </c>
      <c r="X304" s="232">
        <f t="shared" si="88"/>
        <v>0</v>
      </c>
      <c r="Y304" s="232">
        <f t="shared" si="88"/>
        <v>0</v>
      </c>
      <c r="Z304" s="232">
        <f t="shared" si="88"/>
        <v>0</v>
      </c>
      <c r="AA304" s="904"/>
      <c r="AB304" s="904"/>
      <c r="AC304" s="904"/>
      <c r="AD304" s="904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</row>
    <row r="305" spans="1:87" s="268" customFormat="1" ht="171" customHeight="1">
      <c r="A305" s="438" t="s">
        <v>417</v>
      </c>
      <c r="B305" s="1094"/>
      <c r="C305" s="1095"/>
      <c r="D305" s="1095"/>
      <c r="E305" s="1095"/>
      <c r="F305" s="1095"/>
      <c r="G305" s="1095"/>
      <c r="H305" s="1096"/>
      <c r="I305" s="432" t="s">
        <v>418</v>
      </c>
      <c r="J305" s="416"/>
      <c r="K305" s="416"/>
      <c r="L305" s="380"/>
      <c r="M305" s="417"/>
      <c r="N305" s="418"/>
      <c r="O305" s="416"/>
      <c r="P305" s="416"/>
      <c r="Q305" s="416"/>
      <c r="R305" s="419"/>
      <c r="S305" s="416"/>
      <c r="T305" s="416"/>
      <c r="U305" s="420">
        <v>2300000</v>
      </c>
      <c r="V305" s="420">
        <v>2300000</v>
      </c>
      <c r="W305" s="420">
        <v>0</v>
      </c>
      <c r="X305" s="420">
        <v>0</v>
      </c>
      <c r="Y305" s="420">
        <v>0</v>
      </c>
      <c r="Z305" s="420">
        <v>0</v>
      </c>
      <c r="AA305" s="904"/>
      <c r="AB305" s="904"/>
      <c r="AC305" s="904"/>
      <c r="AD305" s="904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</row>
    <row r="306" spans="1:87" s="268" customFormat="1" ht="72" customHeight="1">
      <c r="A306" s="1097" t="s">
        <v>214</v>
      </c>
      <c r="B306" s="1097"/>
      <c r="C306" s="1097"/>
      <c r="D306" s="1097"/>
      <c r="E306" s="1097"/>
      <c r="F306" s="1097"/>
      <c r="G306" s="1097"/>
      <c r="H306" s="1097"/>
      <c r="I306" s="1097"/>
      <c r="J306" s="1097"/>
      <c r="K306" s="1097"/>
      <c r="L306" s="1097"/>
      <c r="M306" s="1097"/>
      <c r="N306" s="1097"/>
      <c r="O306" s="439"/>
      <c r="P306" s="439"/>
      <c r="Q306" s="439"/>
      <c r="R306" s="440"/>
      <c r="S306" s="439"/>
      <c r="T306" s="439"/>
      <c r="U306" s="441">
        <f t="shared" ref="U306:Z306" si="89">U307+U309+U311+U314</f>
        <v>420368.42000000004</v>
      </c>
      <c r="V306" s="441">
        <f t="shared" si="89"/>
        <v>420368.42000000004</v>
      </c>
      <c r="W306" s="441">
        <f t="shared" si="89"/>
        <v>412505.26</v>
      </c>
      <c r="X306" s="441">
        <f t="shared" si="89"/>
        <v>412505.26</v>
      </c>
      <c r="Y306" s="441">
        <f t="shared" si="89"/>
        <v>412505.26</v>
      </c>
      <c r="Z306" s="441">
        <f t="shared" si="89"/>
        <v>412505.26</v>
      </c>
      <c r="AA306" s="904"/>
      <c r="AB306" s="904"/>
      <c r="AC306" s="904"/>
      <c r="AD306" s="904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</row>
    <row r="307" spans="1:87" s="268" customFormat="1" ht="261" customHeight="1">
      <c r="A307" s="190" t="s">
        <v>215</v>
      </c>
      <c r="B307" s="228" t="s">
        <v>419</v>
      </c>
      <c r="C307" s="228" t="s">
        <v>23</v>
      </c>
      <c r="D307" s="228" t="s">
        <v>420</v>
      </c>
      <c r="E307" s="228" t="s">
        <v>25</v>
      </c>
      <c r="F307" s="228"/>
      <c r="G307" s="228" t="s">
        <v>217</v>
      </c>
      <c r="H307" s="228" t="s">
        <v>28</v>
      </c>
      <c r="I307" s="190" t="s">
        <v>421</v>
      </c>
      <c r="J307" s="429"/>
      <c r="K307" s="429"/>
      <c r="L307" s="189" t="s">
        <v>32</v>
      </c>
      <c r="M307" s="429"/>
      <c r="N307" s="429"/>
      <c r="O307" s="424"/>
      <c r="P307" s="424"/>
      <c r="Q307" s="424"/>
      <c r="R307" s="427"/>
      <c r="S307" s="424"/>
      <c r="T307" s="424"/>
      <c r="U307" s="232">
        <f t="shared" ref="U307:Z307" si="90">U308</f>
        <v>0</v>
      </c>
      <c r="V307" s="232">
        <f t="shared" si="90"/>
        <v>0</v>
      </c>
      <c r="W307" s="232">
        <f t="shared" si="90"/>
        <v>78868.42</v>
      </c>
      <c r="X307" s="232">
        <f t="shared" si="90"/>
        <v>78868.42</v>
      </c>
      <c r="Y307" s="232">
        <f t="shared" si="90"/>
        <v>78868.42</v>
      </c>
      <c r="Z307" s="232">
        <f t="shared" si="90"/>
        <v>78868.42</v>
      </c>
      <c r="AA307" s="904"/>
      <c r="AB307" s="904"/>
      <c r="AC307" s="904"/>
      <c r="AD307" s="904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</row>
    <row r="308" spans="1:87" s="268" customFormat="1" ht="194.25" customHeight="1">
      <c r="A308" s="74" t="s">
        <v>422</v>
      </c>
      <c r="B308" s="989"/>
      <c r="C308" s="989"/>
      <c r="D308" s="989"/>
      <c r="E308" s="989"/>
      <c r="F308" s="989"/>
      <c r="G308" s="989"/>
      <c r="H308" s="989"/>
      <c r="I308" s="74" t="s">
        <v>423</v>
      </c>
      <c r="J308" s="442"/>
      <c r="K308" s="442"/>
      <c r="L308" s="442"/>
      <c r="M308" s="414" t="s">
        <v>424</v>
      </c>
      <c r="N308" s="442"/>
      <c r="O308" s="443"/>
      <c r="P308" s="443"/>
      <c r="Q308" s="443"/>
      <c r="R308" s="444"/>
      <c r="S308" s="443"/>
      <c r="T308" s="443"/>
      <c r="U308" s="83">
        <v>0</v>
      </c>
      <c r="V308" s="83">
        <v>0</v>
      </c>
      <c r="W308" s="83">
        <v>78868.42</v>
      </c>
      <c r="X308" s="83">
        <f>W308</f>
        <v>78868.42</v>
      </c>
      <c r="Y308" s="83">
        <v>78868.42</v>
      </c>
      <c r="Z308" s="40">
        <f>Y308</f>
        <v>78868.42</v>
      </c>
      <c r="AA308" s="904"/>
      <c r="AB308" s="904"/>
      <c r="AC308" s="904"/>
      <c r="AD308" s="904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</row>
    <row r="309" spans="1:87" s="268" customFormat="1" ht="251.25" customHeight="1">
      <c r="A309" s="190" t="s">
        <v>215</v>
      </c>
      <c r="B309" s="228" t="s">
        <v>419</v>
      </c>
      <c r="C309" s="228" t="s">
        <v>23</v>
      </c>
      <c r="D309" s="228" t="s">
        <v>420</v>
      </c>
      <c r="E309" s="228" t="s">
        <v>25</v>
      </c>
      <c r="F309" s="228"/>
      <c r="G309" s="228" t="s">
        <v>425</v>
      </c>
      <c r="H309" s="228" t="s">
        <v>28</v>
      </c>
      <c r="I309" s="190" t="s">
        <v>421</v>
      </c>
      <c r="J309" s="429"/>
      <c r="K309" s="429"/>
      <c r="L309" s="189" t="s">
        <v>32</v>
      </c>
      <c r="M309" s="429"/>
      <c r="N309" s="429"/>
      <c r="O309" s="424"/>
      <c r="P309" s="424"/>
      <c r="Q309" s="424"/>
      <c r="R309" s="427"/>
      <c r="S309" s="424"/>
      <c r="T309" s="424"/>
      <c r="U309" s="232">
        <f t="shared" ref="U309:Z309" si="91">U310</f>
        <v>79010.53</v>
      </c>
      <c r="V309" s="232">
        <f t="shared" si="91"/>
        <v>79010.53</v>
      </c>
      <c r="W309" s="232">
        <f t="shared" si="91"/>
        <v>0</v>
      </c>
      <c r="X309" s="232">
        <f t="shared" si="91"/>
        <v>0</v>
      </c>
      <c r="Y309" s="232">
        <f t="shared" si="91"/>
        <v>0</v>
      </c>
      <c r="Z309" s="232">
        <f t="shared" si="91"/>
        <v>0</v>
      </c>
      <c r="AA309" s="904"/>
      <c r="AB309" s="904"/>
      <c r="AC309" s="904"/>
      <c r="AD309" s="904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</row>
    <row r="310" spans="1:87" s="268" customFormat="1" ht="238.5" customHeight="1">
      <c r="A310" s="74" t="s">
        <v>422</v>
      </c>
      <c r="B310" s="989"/>
      <c r="C310" s="989"/>
      <c r="D310" s="989"/>
      <c r="E310" s="989"/>
      <c r="F310" s="989"/>
      <c r="G310" s="989"/>
      <c r="H310" s="989"/>
      <c r="I310" s="74" t="s">
        <v>423</v>
      </c>
      <c r="J310" s="442"/>
      <c r="K310" s="442"/>
      <c r="L310" s="442"/>
      <c r="M310" s="414" t="s">
        <v>424</v>
      </c>
      <c r="N310" s="442"/>
      <c r="O310" s="443"/>
      <c r="P310" s="443"/>
      <c r="Q310" s="443"/>
      <c r="R310" s="444"/>
      <c r="S310" s="443"/>
      <c r="T310" s="443"/>
      <c r="U310" s="83">
        <v>79010.53</v>
      </c>
      <c r="V310" s="83">
        <f>U310</f>
        <v>79010.53</v>
      </c>
      <c r="W310" s="83">
        <v>0</v>
      </c>
      <c r="X310" s="83">
        <f>W310</f>
        <v>0</v>
      </c>
      <c r="Y310" s="83">
        <v>0</v>
      </c>
      <c r="Z310" s="40">
        <v>0</v>
      </c>
      <c r="AA310" s="904"/>
      <c r="AB310" s="904"/>
      <c r="AC310" s="904"/>
      <c r="AD310" s="904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</row>
    <row r="311" spans="1:87" s="268" customFormat="1" ht="228" customHeight="1">
      <c r="A311" s="190" t="s">
        <v>215</v>
      </c>
      <c r="B311" s="228" t="s">
        <v>22</v>
      </c>
      <c r="C311" s="228" t="s">
        <v>23</v>
      </c>
      <c r="D311" s="228" t="s">
        <v>426</v>
      </c>
      <c r="E311" s="228" t="s">
        <v>25</v>
      </c>
      <c r="F311" s="228"/>
      <c r="G311" s="228" t="s">
        <v>217</v>
      </c>
      <c r="H311" s="228" t="s">
        <v>28</v>
      </c>
      <c r="I311" s="190" t="s">
        <v>427</v>
      </c>
      <c r="J311" s="189"/>
      <c r="K311" s="189"/>
      <c r="L311" s="189"/>
      <c r="M311" s="189"/>
      <c r="N311" s="189"/>
      <c r="O311" s="426"/>
      <c r="P311" s="426"/>
      <c r="Q311" s="426"/>
      <c r="R311" s="445"/>
      <c r="S311" s="426"/>
      <c r="T311" s="426"/>
      <c r="U311" s="446">
        <f t="shared" ref="U311:Z311" si="92">U312+U313</f>
        <v>0</v>
      </c>
      <c r="V311" s="446">
        <f t="shared" si="92"/>
        <v>0</v>
      </c>
      <c r="W311" s="446">
        <f t="shared" si="92"/>
        <v>333636.84000000003</v>
      </c>
      <c r="X311" s="446">
        <f t="shared" si="92"/>
        <v>333636.84000000003</v>
      </c>
      <c r="Y311" s="446">
        <f t="shared" si="92"/>
        <v>333636.84000000003</v>
      </c>
      <c r="Z311" s="446">
        <f t="shared" si="92"/>
        <v>333636.84000000003</v>
      </c>
      <c r="AA311" s="904"/>
      <c r="AB311" s="904"/>
      <c r="AC311" s="904"/>
      <c r="AD311" s="904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</row>
    <row r="312" spans="1:87" s="453" customFormat="1" ht="249" customHeight="1">
      <c r="A312" s="233" t="s">
        <v>218</v>
      </c>
      <c r="B312" s="447"/>
      <c r="C312" s="447"/>
      <c r="D312" s="447"/>
      <c r="E312" s="447"/>
      <c r="F312" s="447"/>
      <c r="G312" s="447"/>
      <c r="H312" s="447"/>
      <c r="I312" s="1067" t="s">
        <v>428</v>
      </c>
      <c r="J312" s="448"/>
      <c r="K312" s="448"/>
      <c r="L312" s="448"/>
      <c r="M312" s="34" t="s">
        <v>429</v>
      </c>
      <c r="N312" s="448"/>
      <c r="O312" s="449"/>
      <c r="P312" s="449"/>
      <c r="Q312" s="449"/>
      <c r="R312" s="450"/>
      <c r="S312" s="449"/>
      <c r="T312" s="449"/>
      <c r="U312" s="451">
        <v>0</v>
      </c>
      <c r="V312" s="451">
        <f>U312</f>
        <v>0</v>
      </c>
      <c r="W312" s="451">
        <v>308236.84000000003</v>
      </c>
      <c r="X312" s="451">
        <f>W312</f>
        <v>308236.84000000003</v>
      </c>
      <c r="Y312" s="451">
        <v>308236.84000000003</v>
      </c>
      <c r="Z312" s="39">
        <f>Y312</f>
        <v>308236.84000000003</v>
      </c>
      <c r="AA312" s="904"/>
      <c r="AB312" s="904"/>
      <c r="AC312" s="904"/>
      <c r="AD312" s="904"/>
      <c r="AE312" s="452"/>
      <c r="AF312" s="452"/>
      <c r="AG312" s="452"/>
      <c r="AH312" s="452"/>
      <c r="AI312" s="452"/>
      <c r="AJ312" s="452"/>
      <c r="AK312" s="452"/>
      <c r="AL312" s="452"/>
      <c r="AM312" s="452"/>
      <c r="AN312" s="452"/>
      <c r="AO312" s="452"/>
      <c r="AP312" s="452"/>
      <c r="AQ312" s="452"/>
      <c r="AR312" s="452"/>
      <c r="AS312" s="452"/>
      <c r="AT312" s="452"/>
      <c r="AU312" s="452"/>
      <c r="AV312" s="452"/>
      <c r="AW312" s="452"/>
      <c r="AX312" s="452"/>
      <c r="AY312" s="452"/>
      <c r="AZ312" s="452"/>
      <c r="BA312" s="452"/>
      <c r="BB312" s="452"/>
      <c r="BC312" s="452"/>
      <c r="BD312" s="452"/>
      <c r="BE312" s="452"/>
      <c r="BF312" s="452"/>
      <c r="BG312" s="452"/>
      <c r="BH312" s="452"/>
      <c r="BI312" s="452"/>
      <c r="BJ312" s="452"/>
      <c r="BK312" s="452"/>
      <c r="BL312" s="452"/>
      <c r="BM312" s="452"/>
      <c r="BN312" s="452"/>
      <c r="BO312" s="452"/>
      <c r="BP312" s="452"/>
      <c r="BQ312" s="452"/>
      <c r="BR312" s="452"/>
      <c r="BS312" s="452"/>
      <c r="BT312" s="452"/>
      <c r="BU312" s="452"/>
      <c r="BV312" s="452"/>
      <c r="BW312" s="452"/>
      <c r="BX312" s="452"/>
      <c r="BY312" s="452"/>
      <c r="BZ312" s="452"/>
      <c r="CA312" s="452"/>
      <c r="CB312" s="452"/>
      <c r="CC312" s="452"/>
      <c r="CD312" s="452"/>
      <c r="CE312" s="452"/>
      <c r="CF312" s="452"/>
      <c r="CG312" s="452"/>
      <c r="CH312" s="452"/>
      <c r="CI312" s="452"/>
    </row>
    <row r="313" spans="1:87" s="453" customFormat="1" ht="286.5" customHeight="1">
      <c r="A313" s="74" t="s">
        <v>430</v>
      </c>
      <c r="B313" s="447"/>
      <c r="C313" s="447"/>
      <c r="D313" s="447"/>
      <c r="E313" s="447"/>
      <c r="F313" s="447"/>
      <c r="G313" s="447"/>
      <c r="H313" s="447"/>
      <c r="I313" s="1067"/>
      <c r="J313" s="448"/>
      <c r="K313" s="448"/>
      <c r="L313" s="448"/>
      <c r="M313" s="34" t="s">
        <v>431</v>
      </c>
      <c r="N313" s="448"/>
      <c r="O313" s="449"/>
      <c r="P313" s="449"/>
      <c r="Q313" s="449"/>
      <c r="R313" s="450"/>
      <c r="S313" s="449"/>
      <c r="T313" s="449"/>
      <c r="U313" s="451">
        <v>0</v>
      </c>
      <c r="V313" s="451">
        <v>0</v>
      </c>
      <c r="W313" s="451">
        <v>25400</v>
      </c>
      <c r="X313" s="451">
        <f>W313</f>
        <v>25400</v>
      </c>
      <c r="Y313" s="451">
        <v>25400</v>
      </c>
      <c r="Z313" s="39">
        <f>Y313</f>
        <v>25400</v>
      </c>
      <c r="AA313" s="904"/>
      <c r="AB313" s="904"/>
      <c r="AC313" s="904"/>
      <c r="AD313" s="904"/>
      <c r="AE313" s="452"/>
      <c r="AF313" s="452"/>
      <c r="AG313" s="452"/>
      <c r="AH313" s="452"/>
      <c r="AI313" s="452"/>
      <c r="AJ313" s="452"/>
      <c r="AK313" s="452"/>
      <c r="AL313" s="452"/>
      <c r="AM313" s="452"/>
      <c r="AN313" s="452"/>
      <c r="AO313" s="452"/>
      <c r="AP313" s="452"/>
      <c r="AQ313" s="452"/>
      <c r="AR313" s="452"/>
      <c r="AS313" s="452"/>
      <c r="AT313" s="452"/>
      <c r="AU313" s="452"/>
      <c r="AV313" s="452"/>
      <c r="AW313" s="452"/>
      <c r="AX313" s="452"/>
      <c r="AY313" s="452"/>
      <c r="AZ313" s="452"/>
      <c r="BA313" s="452"/>
      <c r="BB313" s="452"/>
      <c r="BC313" s="452"/>
      <c r="BD313" s="452"/>
      <c r="BE313" s="452"/>
      <c r="BF313" s="452"/>
      <c r="BG313" s="452"/>
      <c r="BH313" s="452"/>
      <c r="BI313" s="452"/>
      <c r="BJ313" s="452"/>
      <c r="BK313" s="452"/>
      <c r="BL313" s="452"/>
      <c r="BM313" s="452"/>
      <c r="BN313" s="452"/>
      <c r="BO313" s="452"/>
      <c r="BP313" s="452"/>
      <c r="BQ313" s="452"/>
      <c r="BR313" s="452"/>
      <c r="BS313" s="452"/>
      <c r="BT313" s="452"/>
      <c r="BU313" s="452"/>
      <c r="BV313" s="452"/>
      <c r="BW313" s="452"/>
      <c r="BX313" s="452"/>
      <c r="BY313" s="452"/>
      <c r="BZ313" s="452"/>
      <c r="CA313" s="452"/>
      <c r="CB313" s="452"/>
      <c r="CC313" s="452"/>
      <c r="CD313" s="452"/>
      <c r="CE313" s="452"/>
      <c r="CF313" s="452"/>
      <c r="CG313" s="452"/>
      <c r="CH313" s="452"/>
      <c r="CI313" s="452"/>
    </row>
    <row r="314" spans="1:87" s="453" customFormat="1" ht="228" customHeight="1">
      <c r="A314" s="190" t="s">
        <v>215</v>
      </c>
      <c r="B314" s="228" t="s">
        <v>22</v>
      </c>
      <c r="C314" s="228" t="s">
        <v>23</v>
      </c>
      <c r="D314" s="228" t="s">
        <v>426</v>
      </c>
      <c r="E314" s="228" t="s">
        <v>25</v>
      </c>
      <c r="F314" s="228"/>
      <c r="G314" s="228" t="s">
        <v>217</v>
      </c>
      <c r="H314" s="228" t="s">
        <v>28</v>
      </c>
      <c r="I314" s="190" t="s">
        <v>427</v>
      </c>
      <c r="J314" s="189"/>
      <c r="K314" s="189"/>
      <c r="L314" s="189"/>
      <c r="M314" s="189"/>
      <c r="N314" s="189"/>
      <c r="O314" s="426"/>
      <c r="P314" s="426"/>
      <c r="Q314" s="426"/>
      <c r="R314" s="445"/>
      <c r="S314" s="426"/>
      <c r="T314" s="426"/>
      <c r="U314" s="446">
        <f t="shared" ref="U314:Z314" si="93">U315+U316</f>
        <v>341357.89</v>
      </c>
      <c r="V314" s="446">
        <f t="shared" si="93"/>
        <v>341357.89</v>
      </c>
      <c r="W314" s="446">
        <f t="shared" si="93"/>
        <v>0</v>
      </c>
      <c r="X314" s="446">
        <f t="shared" si="93"/>
        <v>0</v>
      </c>
      <c r="Y314" s="446">
        <f t="shared" si="93"/>
        <v>0</v>
      </c>
      <c r="Z314" s="446">
        <f t="shared" si="93"/>
        <v>0</v>
      </c>
      <c r="AA314" s="904"/>
      <c r="AB314" s="904"/>
      <c r="AC314" s="904"/>
      <c r="AD314" s="904"/>
      <c r="AE314" s="452"/>
      <c r="AF314" s="452"/>
      <c r="AG314" s="452"/>
      <c r="AH314" s="452"/>
      <c r="AI314" s="452"/>
      <c r="AJ314" s="452"/>
      <c r="AK314" s="452"/>
      <c r="AL314" s="452"/>
      <c r="AM314" s="452"/>
      <c r="AN314" s="452"/>
      <c r="AO314" s="452"/>
      <c r="AP314" s="452"/>
      <c r="AQ314" s="452"/>
      <c r="AR314" s="452"/>
      <c r="AS314" s="452"/>
      <c r="AT314" s="452"/>
      <c r="AU314" s="452"/>
      <c r="AV314" s="452"/>
      <c r="AW314" s="452"/>
      <c r="AX314" s="452"/>
      <c r="AY314" s="452"/>
      <c r="AZ314" s="452"/>
      <c r="BA314" s="452"/>
      <c r="BB314" s="452"/>
      <c r="BC314" s="452"/>
      <c r="BD314" s="452"/>
      <c r="BE314" s="452"/>
      <c r="BF314" s="452"/>
      <c r="BG314" s="452"/>
      <c r="BH314" s="452"/>
      <c r="BI314" s="452"/>
      <c r="BJ314" s="452"/>
      <c r="BK314" s="452"/>
      <c r="BL314" s="452"/>
      <c r="BM314" s="452"/>
      <c r="BN314" s="452"/>
      <c r="BO314" s="452"/>
      <c r="BP314" s="452"/>
      <c r="BQ314" s="452"/>
      <c r="BR314" s="452"/>
      <c r="BS314" s="452"/>
      <c r="BT314" s="452"/>
      <c r="BU314" s="452"/>
      <c r="BV314" s="452"/>
      <c r="BW314" s="452"/>
      <c r="BX314" s="452"/>
      <c r="BY314" s="452"/>
      <c r="BZ314" s="452"/>
      <c r="CA314" s="452"/>
      <c r="CB314" s="452"/>
      <c r="CC314" s="452"/>
      <c r="CD314" s="452"/>
      <c r="CE314" s="452"/>
      <c r="CF314" s="452"/>
      <c r="CG314" s="452"/>
      <c r="CH314" s="452"/>
      <c r="CI314" s="452"/>
    </row>
    <row r="315" spans="1:87" s="453" customFormat="1" ht="249" customHeight="1">
      <c r="A315" s="233" t="s">
        <v>218</v>
      </c>
      <c r="B315" s="447"/>
      <c r="C315" s="447"/>
      <c r="D315" s="447"/>
      <c r="E315" s="447"/>
      <c r="F315" s="447"/>
      <c r="G315" s="447"/>
      <c r="H315" s="447"/>
      <c r="I315" s="1067" t="s">
        <v>428</v>
      </c>
      <c r="J315" s="448"/>
      <c r="K315" s="448"/>
      <c r="L315" s="448"/>
      <c r="M315" s="34" t="s">
        <v>429</v>
      </c>
      <c r="N315" s="448"/>
      <c r="O315" s="449"/>
      <c r="P315" s="449"/>
      <c r="Q315" s="449"/>
      <c r="R315" s="450"/>
      <c r="S315" s="449"/>
      <c r="T315" s="449"/>
      <c r="U315" s="451">
        <v>315957.89</v>
      </c>
      <c r="V315" s="451">
        <f>U315</f>
        <v>315957.89</v>
      </c>
      <c r="W315" s="451">
        <v>0</v>
      </c>
      <c r="X315" s="451">
        <f>W315</f>
        <v>0</v>
      </c>
      <c r="Y315" s="451">
        <v>0</v>
      </c>
      <c r="Z315" s="39">
        <f>Y315</f>
        <v>0</v>
      </c>
      <c r="AA315" s="904"/>
      <c r="AB315" s="904"/>
      <c r="AC315" s="904"/>
      <c r="AD315" s="904"/>
      <c r="AE315" s="452"/>
      <c r="AF315" s="452"/>
      <c r="AG315" s="452"/>
      <c r="AH315" s="452"/>
      <c r="AI315" s="452"/>
      <c r="AJ315" s="452"/>
      <c r="AK315" s="452"/>
      <c r="AL315" s="452"/>
      <c r="AM315" s="452"/>
      <c r="AN315" s="452"/>
      <c r="AO315" s="452"/>
      <c r="AP315" s="452"/>
      <c r="AQ315" s="452"/>
      <c r="AR315" s="452"/>
      <c r="AS315" s="452"/>
      <c r="AT315" s="452"/>
      <c r="AU315" s="452"/>
      <c r="AV315" s="452"/>
      <c r="AW315" s="452"/>
      <c r="AX315" s="452"/>
      <c r="AY315" s="452"/>
      <c r="AZ315" s="452"/>
      <c r="BA315" s="452"/>
      <c r="BB315" s="452"/>
      <c r="BC315" s="452"/>
      <c r="BD315" s="452"/>
      <c r="BE315" s="452"/>
      <c r="BF315" s="452"/>
      <c r="BG315" s="452"/>
      <c r="BH315" s="452"/>
      <c r="BI315" s="452"/>
      <c r="BJ315" s="452"/>
      <c r="BK315" s="452"/>
      <c r="BL315" s="452"/>
      <c r="BM315" s="452"/>
      <c r="BN315" s="452"/>
      <c r="BO315" s="452"/>
      <c r="BP315" s="452"/>
      <c r="BQ315" s="452"/>
      <c r="BR315" s="452"/>
      <c r="BS315" s="452"/>
      <c r="BT315" s="452"/>
      <c r="BU315" s="452"/>
      <c r="BV315" s="452"/>
      <c r="BW315" s="452"/>
      <c r="BX315" s="452"/>
      <c r="BY315" s="452"/>
      <c r="BZ315" s="452"/>
      <c r="CA315" s="452"/>
      <c r="CB315" s="452"/>
      <c r="CC315" s="452"/>
      <c r="CD315" s="452"/>
      <c r="CE315" s="452"/>
      <c r="CF315" s="452"/>
      <c r="CG315" s="452"/>
      <c r="CH315" s="452"/>
      <c r="CI315" s="452"/>
    </row>
    <row r="316" spans="1:87" s="453" customFormat="1" ht="306" customHeight="1">
      <c r="A316" s="74" t="s">
        <v>430</v>
      </c>
      <c r="B316" s="447"/>
      <c r="C316" s="447"/>
      <c r="D316" s="447"/>
      <c r="E316" s="447"/>
      <c r="F316" s="447"/>
      <c r="G316" s="447"/>
      <c r="H316" s="447"/>
      <c r="I316" s="1067"/>
      <c r="J316" s="448"/>
      <c r="K316" s="448"/>
      <c r="L316" s="448"/>
      <c r="M316" s="34" t="s">
        <v>431</v>
      </c>
      <c r="N316" s="448"/>
      <c r="O316" s="449"/>
      <c r="P316" s="449"/>
      <c r="Q316" s="449"/>
      <c r="R316" s="450"/>
      <c r="S316" s="449"/>
      <c r="T316" s="449"/>
      <c r="U316" s="451">
        <v>25400</v>
      </c>
      <c r="V316" s="451">
        <f>U316</f>
        <v>25400</v>
      </c>
      <c r="W316" s="451">
        <v>0</v>
      </c>
      <c r="X316" s="451">
        <f>W316</f>
        <v>0</v>
      </c>
      <c r="Y316" s="451">
        <v>0</v>
      </c>
      <c r="Z316" s="39">
        <f>Y316</f>
        <v>0</v>
      </c>
      <c r="AA316" s="904"/>
      <c r="AB316" s="904"/>
      <c r="AC316" s="904"/>
      <c r="AD316" s="904"/>
      <c r="AE316" s="452"/>
      <c r="AF316" s="452"/>
      <c r="AG316" s="452"/>
      <c r="AH316" s="452"/>
      <c r="AI316" s="452"/>
      <c r="AJ316" s="452"/>
      <c r="AK316" s="452"/>
      <c r="AL316" s="452"/>
      <c r="AM316" s="452"/>
      <c r="AN316" s="452"/>
      <c r="AO316" s="452"/>
      <c r="AP316" s="452"/>
      <c r="AQ316" s="452"/>
      <c r="AR316" s="452"/>
      <c r="AS316" s="452"/>
      <c r="AT316" s="452"/>
      <c r="AU316" s="452"/>
      <c r="AV316" s="452"/>
      <c r="AW316" s="452"/>
      <c r="AX316" s="452"/>
      <c r="AY316" s="452"/>
      <c r="AZ316" s="452"/>
      <c r="BA316" s="452"/>
      <c r="BB316" s="452"/>
      <c r="BC316" s="452"/>
      <c r="BD316" s="452"/>
      <c r="BE316" s="452"/>
      <c r="BF316" s="452"/>
      <c r="BG316" s="452"/>
      <c r="BH316" s="452"/>
      <c r="BI316" s="452"/>
      <c r="BJ316" s="452"/>
      <c r="BK316" s="452"/>
      <c r="BL316" s="452"/>
      <c r="BM316" s="452"/>
      <c r="BN316" s="452"/>
      <c r="BO316" s="452"/>
      <c r="BP316" s="452"/>
      <c r="BQ316" s="452"/>
      <c r="BR316" s="452"/>
      <c r="BS316" s="452"/>
      <c r="BT316" s="452"/>
      <c r="BU316" s="452"/>
      <c r="BV316" s="452"/>
      <c r="BW316" s="452"/>
      <c r="BX316" s="452"/>
      <c r="BY316" s="452"/>
      <c r="BZ316" s="452"/>
      <c r="CA316" s="452"/>
      <c r="CB316" s="452"/>
      <c r="CC316" s="452"/>
      <c r="CD316" s="452"/>
      <c r="CE316" s="452"/>
      <c r="CF316" s="452"/>
      <c r="CG316" s="452"/>
      <c r="CH316" s="452"/>
      <c r="CI316" s="452"/>
    </row>
    <row r="317" spans="1:87" s="268" customFormat="1" ht="54.75" customHeight="1">
      <c r="A317" s="1050" t="s">
        <v>432</v>
      </c>
      <c r="B317" s="1051"/>
      <c r="C317" s="1051"/>
      <c r="D317" s="1051"/>
      <c r="E317" s="1051"/>
      <c r="F317" s="1051"/>
      <c r="G317" s="1051"/>
      <c r="H317" s="1051"/>
      <c r="I317" s="1051"/>
      <c r="J317" s="1051"/>
      <c r="K317" s="1051"/>
      <c r="L317" s="1051"/>
      <c r="M317" s="1052"/>
      <c r="N317" s="454"/>
      <c r="O317" s="454"/>
      <c r="P317" s="454"/>
      <c r="Q317" s="455" t="e">
        <f>Q321+Q323+#REF!+Q328</f>
        <v>#REF!</v>
      </c>
      <c r="R317" s="455" t="e">
        <f>R321+R323+#REF!+R328</f>
        <v>#REF!</v>
      </c>
      <c r="S317" s="455" t="e">
        <f>S321+S323+#REF!+S328</f>
        <v>#REF!</v>
      </c>
      <c r="T317" s="455" t="e">
        <f>T321+T323+#REF!+T328</f>
        <v>#REF!</v>
      </c>
      <c r="U317" s="456">
        <f t="shared" ref="U317:Z317" si="94">U321+U323+U328+U325+U359+U319+U318</f>
        <v>39481378</v>
      </c>
      <c r="V317" s="456">
        <f t="shared" si="94"/>
        <v>39481378</v>
      </c>
      <c r="W317" s="456">
        <f t="shared" si="94"/>
        <v>6309600.0041000005</v>
      </c>
      <c r="X317" s="456">
        <f t="shared" si="94"/>
        <v>6309600.0041000005</v>
      </c>
      <c r="Y317" s="456">
        <f t="shared" si="94"/>
        <v>5770000.0041000005</v>
      </c>
      <c r="Z317" s="456">
        <f t="shared" si="94"/>
        <v>5770000.0041000005</v>
      </c>
      <c r="AA317" s="904"/>
      <c r="AB317" s="904"/>
      <c r="AC317" s="904"/>
      <c r="AD317" s="904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</row>
    <row r="318" spans="1:87" s="268" customFormat="1" ht="33" customHeight="1">
      <c r="A318" s="457" t="s">
        <v>433</v>
      </c>
      <c r="B318" s="457"/>
      <c r="C318" s="457"/>
      <c r="D318" s="457"/>
      <c r="E318" s="457"/>
      <c r="F318" s="457"/>
      <c r="G318" s="457"/>
      <c r="H318" s="457"/>
      <c r="I318" s="457"/>
      <c r="J318" s="457"/>
      <c r="K318" s="457"/>
      <c r="L318" s="457"/>
      <c r="M318" s="457"/>
      <c r="N318" s="454"/>
      <c r="O318" s="454"/>
      <c r="P318" s="454"/>
      <c r="Q318" s="455"/>
      <c r="R318" s="455"/>
      <c r="S318" s="455"/>
      <c r="T318" s="455"/>
      <c r="U318" s="456">
        <f t="shared" ref="U318:Z318" si="95">U370</f>
        <v>2985800</v>
      </c>
      <c r="V318" s="456">
        <f t="shared" si="95"/>
        <v>2985800</v>
      </c>
      <c r="W318" s="456">
        <f t="shared" si="95"/>
        <v>0</v>
      </c>
      <c r="X318" s="456">
        <f t="shared" si="95"/>
        <v>0</v>
      </c>
      <c r="Y318" s="456">
        <f t="shared" si="95"/>
        <v>0</v>
      </c>
      <c r="Z318" s="456">
        <f t="shared" si="95"/>
        <v>0</v>
      </c>
      <c r="AA318" s="904"/>
      <c r="AB318" s="904"/>
      <c r="AC318" s="904"/>
      <c r="AD318" s="904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</row>
    <row r="319" spans="1:87" s="268" customFormat="1" ht="215.25" customHeight="1">
      <c r="A319" s="458" t="s">
        <v>434</v>
      </c>
      <c r="B319" s="459" t="s">
        <v>22</v>
      </c>
      <c r="C319" s="459" t="s">
        <v>410</v>
      </c>
      <c r="D319" s="459" t="s">
        <v>435</v>
      </c>
      <c r="E319" s="459" t="s">
        <v>25</v>
      </c>
      <c r="F319" s="459"/>
      <c r="G319" s="459" t="s">
        <v>436</v>
      </c>
      <c r="H319" s="459" t="s">
        <v>28</v>
      </c>
      <c r="I319" s="460" t="s">
        <v>437</v>
      </c>
      <c r="J319" s="461"/>
      <c r="K319" s="461"/>
      <c r="L319" s="461"/>
      <c r="M319" s="461"/>
      <c r="N319" s="462"/>
      <c r="O319" s="462"/>
      <c r="P319" s="462"/>
      <c r="Q319" s="230"/>
      <c r="R319" s="230"/>
      <c r="S319" s="230"/>
      <c r="T319" s="230"/>
      <c r="U319" s="446">
        <f t="shared" ref="U319:Z319" si="96">U320</f>
        <v>1010941</v>
      </c>
      <c r="V319" s="446">
        <f t="shared" si="96"/>
        <v>1010941</v>
      </c>
      <c r="W319" s="446">
        <f t="shared" si="96"/>
        <v>0</v>
      </c>
      <c r="X319" s="446">
        <f t="shared" si="96"/>
        <v>0</v>
      </c>
      <c r="Y319" s="446">
        <f t="shared" si="96"/>
        <v>0</v>
      </c>
      <c r="Z319" s="446">
        <f t="shared" si="96"/>
        <v>0</v>
      </c>
      <c r="AA319" s="904"/>
      <c r="AB319" s="904"/>
      <c r="AC319" s="904"/>
      <c r="AD319" s="904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</row>
    <row r="320" spans="1:87" s="469" customFormat="1" ht="114.75" customHeight="1">
      <c r="A320" s="463" t="s">
        <v>187</v>
      </c>
      <c r="B320" s="464"/>
      <c r="C320" s="464"/>
      <c r="D320" s="464"/>
      <c r="E320" s="464"/>
      <c r="F320" s="464"/>
      <c r="G320" s="464"/>
      <c r="H320" s="464"/>
      <c r="I320" s="463" t="s">
        <v>438</v>
      </c>
      <c r="J320" s="465"/>
      <c r="K320" s="465"/>
      <c r="L320" s="465"/>
      <c r="M320" s="465"/>
      <c r="N320" s="466"/>
      <c r="O320" s="466"/>
      <c r="P320" s="466"/>
      <c r="Q320" s="467"/>
      <c r="R320" s="467"/>
      <c r="S320" s="467"/>
      <c r="T320" s="467"/>
      <c r="U320" s="468">
        <v>1010941</v>
      </c>
      <c r="V320" s="468">
        <v>1010941</v>
      </c>
      <c r="W320" s="468">
        <v>0</v>
      </c>
      <c r="X320" s="468">
        <v>0</v>
      </c>
      <c r="Y320" s="468">
        <v>0</v>
      </c>
      <c r="Z320" s="468">
        <v>0</v>
      </c>
      <c r="AA320" s="904"/>
      <c r="AB320" s="904"/>
      <c r="AC320" s="904"/>
      <c r="AD320" s="904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152"/>
      <c r="AV320" s="152"/>
      <c r="AW320" s="152"/>
      <c r="AX320" s="152"/>
      <c r="AY320" s="152"/>
      <c r="AZ320" s="152"/>
      <c r="BA320" s="152"/>
      <c r="BB320" s="152"/>
      <c r="BC320" s="152"/>
      <c r="BD320" s="152"/>
      <c r="BE320" s="152"/>
      <c r="BF320" s="152"/>
      <c r="BG320" s="152"/>
      <c r="BH320" s="152"/>
      <c r="BI320" s="152"/>
      <c r="BJ320" s="152"/>
      <c r="BK320" s="152"/>
      <c r="BL320" s="152"/>
      <c r="BM320" s="152"/>
      <c r="BN320" s="152"/>
      <c r="BO320" s="152"/>
      <c r="BP320" s="152"/>
      <c r="BQ320" s="152"/>
      <c r="BR320" s="152"/>
      <c r="BS320" s="152"/>
      <c r="BT320" s="152"/>
      <c r="BU320" s="152"/>
      <c r="BV320" s="152"/>
      <c r="BW320" s="152"/>
      <c r="BX320" s="152"/>
      <c r="BY320" s="152"/>
      <c r="BZ320" s="152"/>
      <c r="CA320" s="152"/>
      <c r="CB320" s="152"/>
      <c r="CC320" s="152"/>
      <c r="CD320" s="152"/>
      <c r="CE320" s="152"/>
      <c r="CF320" s="152"/>
      <c r="CG320" s="152"/>
      <c r="CH320" s="152"/>
      <c r="CI320" s="152"/>
    </row>
    <row r="321" spans="1:87" s="268" customFormat="1" ht="365.25" customHeight="1">
      <c r="A321" s="470" t="s">
        <v>439</v>
      </c>
      <c r="B321" s="228">
        <v>811</v>
      </c>
      <c r="C321" s="228" t="s">
        <v>410</v>
      </c>
      <c r="D321" s="228" t="s">
        <v>440</v>
      </c>
      <c r="E321" s="228" t="s">
        <v>25</v>
      </c>
      <c r="F321" s="228" t="s">
        <v>441</v>
      </c>
      <c r="G321" s="228" t="s">
        <v>442</v>
      </c>
      <c r="H321" s="228" t="s">
        <v>28</v>
      </c>
      <c r="I321" s="190" t="s">
        <v>443</v>
      </c>
      <c r="J321" s="471">
        <v>2900000</v>
      </c>
      <c r="K321" s="472">
        <v>2175000</v>
      </c>
      <c r="L321" s="473"/>
      <c r="M321" s="474"/>
      <c r="N321" s="475"/>
      <c r="O321" s="231">
        <v>112</v>
      </c>
      <c r="P321" s="231"/>
      <c r="Q321" s="231">
        <f t="shared" ref="Q321:Z321" si="97">SUM(Q322:Q322,0)</f>
        <v>81378</v>
      </c>
      <c r="R321" s="231">
        <f t="shared" si="97"/>
        <v>81378</v>
      </c>
      <c r="S321" s="231">
        <f t="shared" si="97"/>
        <v>81378</v>
      </c>
      <c r="T321" s="231">
        <f t="shared" si="97"/>
        <v>81378</v>
      </c>
      <c r="U321" s="232">
        <f t="shared" si="97"/>
        <v>5584073</v>
      </c>
      <c r="V321" s="232">
        <f t="shared" si="97"/>
        <v>5584073</v>
      </c>
      <c r="W321" s="232">
        <f t="shared" si="97"/>
        <v>1450000.0030999999</v>
      </c>
      <c r="X321" s="232">
        <f t="shared" si="97"/>
        <v>1450000.0030999999</v>
      </c>
      <c r="Y321" s="232">
        <f t="shared" si="97"/>
        <v>1450000.0030999999</v>
      </c>
      <c r="Z321" s="232">
        <f t="shared" si="97"/>
        <v>1450000.0030999999</v>
      </c>
      <c r="AA321" s="904"/>
      <c r="AB321" s="904"/>
      <c r="AC321" s="904"/>
      <c r="AD321" s="904"/>
      <c r="AE321" s="7">
        <v>1450000.0030999999</v>
      </c>
      <c r="AF321" s="7">
        <v>1450000.0030999999</v>
      </c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</row>
    <row r="322" spans="1:87" s="268" customFormat="1" ht="188.25" customHeight="1">
      <c r="A322" s="476" t="s">
        <v>444</v>
      </c>
      <c r="B322" s="1081"/>
      <c r="C322" s="990"/>
      <c r="D322" s="990"/>
      <c r="E322" s="990"/>
      <c r="F322" s="990"/>
      <c r="G322" s="990"/>
      <c r="H322" s="990"/>
      <c r="I322" s="476" t="s">
        <v>445</v>
      </c>
      <c r="J322" s="477"/>
      <c r="K322" s="478"/>
      <c r="L322" s="479" t="s">
        <v>32</v>
      </c>
      <c r="M322" s="480" t="s">
        <v>42</v>
      </c>
      <c r="N322" s="481"/>
      <c r="O322" s="156">
        <v>3</v>
      </c>
      <c r="P322" s="156">
        <v>27126</v>
      </c>
      <c r="Q322" s="156">
        <f>ROUND(O322*P322,0)</f>
        <v>81378</v>
      </c>
      <c r="R322" s="133">
        <f>P322*O322</f>
        <v>81378</v>
      </c>
      <c r="S322" s="133">
        <v>81378</v>
      </c>
      <c r="T322" s="133">
        <v>81378</v>
      </c>
      <c r="U322" s="139">
        <v>5584073</v>
      </c>
      <c r="V322" s="139">
        <v>5584073</v>
      </c>
      <c r="W322" s="39">
        <v>1450000.0030999999</v>
      </c>
      <c r="X322" s="39">
        <v>1450000.0030999999</v>
      </c>
      <c r="Y322" s="39">
        <v>1450000.0030999999</v>
      </c>
      <c r="Z322" s="40">
        <v>1450000.0030999999</v>
      </c>
      <c r="AA322" s="904"/>
      <c r="AB322" s="904"/>
      <c r="AC322" s="904"/>
      <c r="AD322" s="904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</row>
    <row r="323" spans="1:87" s="268" customFormat="1" ht="287.25" customHeight="1">
      <c r="A323" s="425" t="s">
        <v>446</v>
      </c>
      <c r="B323" s="228">
        <v>811</v>
      </c>
      <c r="C323" s="228" t="s">
        <v>410</v>
      </c>
      <c r="D323" s="228" t="s">
        <v>447</v>
      </c>
      <c r="E323" s="228" t="s">
        <v>25</v>
      </c>
      <c r="F323" s="228" t="s">
        <v>448</v>
      </c>
      <c r="G323" s="228" t="s">
        <v>449</v>
      </c>
      <c r="H323" s="228" t="s">
        <v>28</v>
      </c>
      <c r="I323" s="190" t="s">
        <v>443</v>
      </c>
      <c r="J323" s="471">
        <v>4600000</v>
      </c>
      <c r="K323" s="472">
        <v>3450000</v>
      </c>
      <c r="L323" s="408"/>
      <c r="M323" s="482"/>
      <c r="N323" s="475"/>
      <c r="O323" s="483"/>
      <c r="P323" s="483"/>
      <c r="Q323" s="231">
        <f t="shared" ref="Q323:Z323" si="98">SUM(Q324:Q324)</f>
        <v>530880</v>
      </c>
      <c r="R323" s="231">
        <f t="shared" si="98"/>
        <v>530880</v>
      </c>
      <c r="S323" s="231">
        <f t="shared" si="98"/>
        <v>530880</v>
      </c>
      <c r="T323" s="231">
        <f t="shared" si="98"/>
        <v>530880</v>
      </c>
      <c r="U323" s="232">
        <f t="shared" si="98"/>
        <v>9072814</v>
      </c>
      <c r="V323" s="232">
        <f t="shared" si="98"/>
        <v>9072814</v>
      </c>
      <c r="W323" s="232">
        <f t="shared" si="98"/>
        <v>2300000.0010000002</v>
      </c>
      <c r="X323" s="232">
        <f t="shared" si="98"/>
        <v>2300000.0010000002</v>
      </c>
      <c r="Y323" s="232">
        <f t="shared" si="98"/>
        <v>2300000.0010000002</v>
      </c>
      <c r="Z323" s="232">
        <f t="shared" si="98"/>
        <v>2300000.0010000002</v>
      </c>
      <c r="AA323" s="904"/>
      <c r="AB323" s="904"/>
      <c r="AC323" s="904"/>
      <c r="AD323" s="904"/>
      <c r="AE323" s="7">
        <v>2300000.0010000002</v>
      </c>
      <c r="AF323" s="7">
        <v>2300000.0010000002</v>
      </c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</row>
    <row r="324" spans="1:87" s="268" customFormat="1" ht="186.75" customHeight="1">
      <c r="A324" s="476" t="s">
        <v>450</v>
      </c>
      <c r="B324" s="1061"/>
      <c r="C324" s="1062"/>
      <c r="D324" s="1062"/>
      <c r="E324" s="1062"/>
      <c r="F324" s="1062"/>
      <c r="G324" s="1062"/>
      <c r="H324" s="1063"/>
      <c r="I324" s="476" t="s">
        <v>451</v>
      </c>
      <c r="J324" s="477"/>
      <c r="K324" s="477"/>
      <c r="L324" s="484" t="s">
        <v>32</v>
      </c>
      <c r="M324" s="484" t="s">
        <v>32</v>
      </c>
      <c r="N324" s="135" t="s">
        <v>234</v>
      </c>
      <c r="O324" s="485">
        <v>12</v>
      </c>
      <c r="P324" s="156">
        <v>44240</v>
      </c>
      <c r="Q324" s="133">
        <f>ROUND(O324*P324,0)</f>
        <v>530880</v>
      </c>
      <c r="R324" s="133">
        <f>P324*O324</f>
        <v>530880</v>
      </c>
      <c r="S324" s="133">
        <v>530880</v>
      </c>
      <c r="T324" s="133">
        <v>530880</v>
      </c>
      <c r="U324" s="40">
        <v>9072814</v>
      </c>
      <c r="V324" s="40">
        <v>9072814</v>
      </c>
      <c r="W324" s="40">
        <v>2300000.0010000002</v>
      </c>
      <c r="X324" s="40">
        <v>2300000.0010000002</v>
      </c>
      <c r="Y324" s="40">
        <v>2300000.0010000002</v>
      </c>
      <c r="Z324" s="40">
        <v>2300000.0010000002</v>
      </c>
      <c r="AA324" s="904"/>
      <c r="AB324" s="904"/>
      <c r="AC324" s="904"/>
      <c r="AD324" s="904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</row>
    <row r="325" spans="1:87" s="495" customFormat="1" ht="207.75" customHeight="1">
      <c r="A325" s="486" t="s">
        <v>409</v>
      </c>
      <c r="B325" s="437">
        <v>811</v>
      </c>
      <c r="C325" s="437" t="s">
        <v>410</v>
      </c>
      <c r="D325" s="437" t="s">
        <v>452</v>
      </c>
      <c r="E325" s="437">
        <v>612</v>
      </c>
      <c r="F325" s="437"/>
      <c r="G325" s="437" t="s">
        <v>453</v>
      </c>
      <c r="H325" s="437" t="s">
        <v>454</v>
      </c>
      <c r="I325" s="487" t="s">
        <v>455</v>
      </c>
      <c r="J325" s="488"/>
      <c r="K325" s="488"/>
      <c r="L325" s="489"/>
      <c r="M325" s="489"/>
      <c r="N325" s="490"/>
      <c r="O325" s="491"/>
      <c r="P325" s="492"/>
      <c r="Q325" s="493"/>
      <c r="R325" s="493"/>
      <c r="S325" s="493"/>
      <c r="T325" s="493"/>
      <c r="U325" s="143">
        <f t="shared" ref="U325:Z325" si="99">U326+U327</f>
        <v>966810</v>
      </c>
      <c r="V325" s="143">
        <f t="shared" si="99"/>
        <v>966810</v>
      </c>
      <c r="W325" s="143">
        <f t="shared" si="99"/>
        <v>0</v>
      </c>
      <c r="X325" s="143">
        <f t="shared" si="99"/>
        <v>0</v>
      </c>
      <c r="Y325" s="143">
        <f t="shared" si="99"/>
        <v>0</v>
      </c>
      <c r="Z325" s="143">
        <f t="shared" si="99"/>
        <v>0</v>
      </c>
      <c r="AA325" s="904"/>
      <c r="AB325" s="904"/>
      <c r="AC325" s="904"/>
      <c r="AD325" s="904"/>
      <c r="AE325" s="494"/>
      <c r="AF325" s="494"/>
      <c r="AG325" s="494"/>
      <c r="AH325" s="494"/>
      <c r="AI325" s="494"/>
      <c r="AJ325" s="494"/>
      <c r="AK325" s="494"/>
      <c r="AL325" s="494"/>
      <c r="AM325" s="494"/>
      <c r="AN325" s="494"/>
      <c r="AO325" s="494"/>
      <c r="AP325" s="494"/>
      <c r="AQ325" s="494"/>
      <c r="AR325" s="494"/>
      <c r="AS325" s="494"/>
      <c r="AT325" s="494"/>
      <c r="AU325" s="494"/>
      <c r="AV325" s="494"/>
      <c r="AW325" s="494"/>
      <c r="AX325" s="494"/>
      <c r="AY325" s="494"/>
      <c r="AZ325" s="494"/>
      <c r="BA325" s="494"/>
      <c r="BB325" s="494"/>
      <c r="BC325" s="494"/>
      <c r="BD325" s="494"/>
      <c r="BE325" s="494"/>
      <c r="BF325" s="494"/>
      <c r="BG325" s="494"/>
      <c r="BH325" s="494"/>
      <c r="BI325" s="494"/>
      <c r="BJ325" s="494"/>
      <c r="BK325" s="494"/>
      <c r="BL325" s="494"/>
      <c r="BM325" s="494"/>
      <c r="BN325" s="494"/>
      <c r="BO325" s="494"/>
      <c r="BP325" s="494"/>
      <c r="BQ325" s="494"/>
      <c r="BR325" s="494"/>
      <c r="BS325" s="494"/>
      <c r="BT325" s="494"/>
      <c r="BU325" s="494"/>
      <c r="BV325" s="494"/>
      <c r="BW325" s="494"/>
      <c r="BX325" s="494"/>
      <c r="BY325" s="494"/>
      <c r="BZ325" s="494"/>
      <c r="CA325" s="494"/>
      <c r="CB325" s="494"/>
      <c r="CC325" s="494"/>
      <c r="CD325" s="494"/>
      <c r="CE325" s="494"/>
      <c r="CF325" s="494"/>
      <c r="CG325" s="494"/>
      <c r="CH325" s="494"/>
      <c r="CI325" s="494"/>
    </row>
    <row r="326" spans="1:87" s="268" customFormat="1" ht="149.25" customHeight="1">
      <c r="A326" s="1059" t="s">
        <v>187</v>
      </c>
      <c r="B326" s="1061"/>
      <c r="C326" s="1062"/>
      <c r="D326" s="1062"/>
      <c r="E326" s="1062"/>
      <c r="F326" s="1062"/>
      <c r="G326" s="1062"/>
      <c r="H326" s="1063"/>
      <c r="I326" s="1059" t="s">
        <v>456</v>
      </c>
      <c r="J326" s="477"/>
      <c r="K326" s="477"/>
      <c r="L326" s="484"/>
      <c r="M326" s="484" t="s">
        <v>457</v>
      </c>
      <c r="N326" s="135"/>
      <c r="O326" s="485"/>
      <c r="P326" s="156"/>
      <c r="Q326" s="133"/>
      <c r="R326" s="133"/>
      <c r="S326" s="133"/>
      <c r="T326" s="133"/>
      <c r="U326" s="40">
        <v>487970</v>
      </c>
      <c r="V326" s="40">
        <f>U326</f>
        <v>487970</v>
      </c>
      <c r="W326" s="40">
        <v>0</v>
      </c>
      <c r="X326" s="40">
        <v>0</v>
      </c>
      <c r="Y326" s="40">
        <v>0</v>
      </c>
      <c r="Z326" s="40">
        <v>0</v>
      </c>
      <c r="AA326" s="904"/>
      <c r="AB326" s="904"/>
      <c r="AC326" s="904"/>
      <c r="AD326" s="904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</row>
    <row r="327" spans="1:87" s="268" customFormat="1" ht="149.25" customHeight="1">
      <c r="A327" s="1060"/>
      <c r="B327" s="1064"/>
      <c r="C327" s="1065"/>
      <c r="D327" s="1065"/>
      <c r="E327" s="1065"/>
      <c r="F327" s="1065"/>
      <c r="G327" s="1065"/>
      <c r="H327" s="1066"/>
      <c r="I327" s="1060"/>
      <c r="J327" s="477"/>
      <c r="K327" s="477"/>
      <c r="L327" s="484"/>
      <c r="M327" s="484" t="s">
        <v>458</v>
      </c>
      <c r="N327" s="135"/>
      <c r="O327" s="485"/>
      <c r="P327" s="156"/>
      <c r="Q327" s="133"/>
      <c r="R327" s="133"/>
      <c r="S327" s="133"/>
      <c r="T327" s="133"/>
      <c r="U327" s="40">
        <v>478840</v>
      </c>
      <c r="V327" s="40">
        <f>U327</f>
        <v>478840</v>
      </c>
      <c r="W327" s="40">
        <v>0</v>
      </c>
      <c r="X327" s="40">
        <v>0</v>
      </c>
      <c r="Y327" s="40">
        <f>X327</f>
        <v>0</v>
      </c>
      <c r="Z327" s="40">
        <f>Y327</f>
        <v>0</v>
      </c>
      <c r="AA327" s="904"/>
      <c r="AB327" s="904"/>
      <c r="AC327" s="904"/>
      <c r="AD327" s="904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</row>
    <row r="328" spans="1:87" s="268" customFormat="1" ht="291.75" customHeight="1">
      <c r="A328" s="425" t="s">
        <v>459</v>
      </c>
      <c r="B328" s="496" t="s">
        <v>22</v>
      </c>
      <c r="C328" s="496" t="s">
        <v>460</v>
      </c>
      <c r="D328" s="497" t="s">
        <v>461</v>
      </c>
      <c r="E328" s="496" t="s">
        <v>25</v>
      </c>
      <c r="F328" s="496" t="s">
        <v>462</v>
      </c>
      <c r="G328" s="496" t="s">
        <v>463</v>
      </c>
      <c r="H328" s="496" t="s">
        <v>28</v>
      </c>
      <c r="I328" s="470" t="s">
        <v>464</v>
      </c>
      <c r="J328" s="498">
        <f>J329+J330+J331+J332+J333+J334+J335+J336+J337+J338+J339+J340+J341+J342+J343+J344+J345+J346+J347+J348+J349+J350+J351+J352+J353+J354+J355+J356+J357+J358-1911.25</f>
        <v>23038374.160000004</v>
      </c>
      <c r="K328" s="427">
        <f>K329+K330+K331+K332+K333+K334+K335+K336+K337+K338+K339+K340+K341+K343+K342+K344+K345+K346+K347+K348+K349+K350+K351+K352+K353+K354+K355+K356+K357+K358</f>
        <v>25914199.970000003</v>
      </c>
      <c r="L328" s="422" t="s">
        <v>465</v>
      </c>
      <c r="M328" s="474"/>
      <c r="N328" s="475"/>
      <c r="O328" s="231">
        <f>SUM(O329:O357)</f>
        <v>67193</v>
      </c>
      <c r="P328" s="231"/>
      <c r="Q328" s="232">
        <f>Q329+Q330+Q331+Q332+Q333+Q334+Q335+Q336+Q337+Q338+Q339+Q340+Q341+Q342+Q343+Q344+Q345+Q346+Q347+Q348+Q349+Q350+Q351+Q352+Q353+Q354+Q355+Q356+Q357</f>
        <v>24815080.398359004</v>
      </c>
      <c r="R328" s="192">
        <f>R329+R330+R331+R332+R333+R334+R335+R336+R337+R338+R339+R340+R341+R342+R343+R344+R345+R346+R347+R348+R349+R350+R351+R352+R353+R354+R355+R356+R357</f>
        <v>24815080</v>
      </c>
      <c r="S328" s="232">
        <f>S329+S330+S331+S332+S333+S334+S335+S336+S337+S338+S339+S340+S341+S342+S343+S344+S345+S346+S347+S348+S349+S350+S351+S352+S353+S354+S355+S356+S357</f>
        <v>24815080</v>
      </c>
      <c r="T328" s="232">
        <f>T329+T330+T331+T332+T333+T334+T335+T336+T337+T338+T339+T340+T341+T342+T343+T344+T345+T346+T347+T348+T349+T350+T351+T352+T353+T354+T355+T356+T357</f>
        <v>24815080</v>
      </c>
      <c r="U328" s="232">
        <f t="shared" ref="U328:Z328" si="100">U329+U330+U331+U332+U333+U334+U335+U336+U337+U338+U339+U340+U341+U342+U343+U344+U345+U346+U347+U348+U349+U350+U351+U352+U353+U354+U355+U356+U357+U358</f>
        <v>19360940</v>
      </c>
      <c r="V328" s="232">
        <f t="shared" si="100"/>
        <v>19360940</v>
      </c>
      <c r="W328" s="232">
        <f t="shared" si="100"/>
        <v>2559600</v>
      </c>
      <c r="X328" s="232">
        <f t="shared" si="100"/>
        <v>2559600</v>
      </c>
      <c r="Y328" s="232">
        <f t="shared" si="100"/>
        <v>2020000</v>
      </c>
      <c r="Z328" s="232">
        <f t="shared" si="100"/>
        <v>2020000</v>
      </c>
      <c r="AA328" s="904"/>
      <c r="AB328" s="904"/>
      <c r="AC328" s="904"/>
      <c r="AD328" s="904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</row>
    <row r="329" spans="1:87" s="268" customFormat="1" ht="87.75" customHeight="1">
      <c r="A329" s="499" t="s">
        <v>466</v>
      </c>
      <c r="B329" s="977"/>
      <c r="C329" s="977"/>
      <c r="D329" s="977"/>
      <c r="E329" s="977"/>
      <c r="F329" s="977"/>
      <c r="G329" s="977"/>
      <c r="H329" s="977"/>
      <c r="I329" s="1067" t="s">
        <v>467</v>
      </c>
      <c r="J329" s="500">
        <v>1595893.71</v>
      </c>
      <c r="K329" s="501">
        <v>1766000</v>
      </c>
      <c r="L329" s="501"/>
      <c r="M329" s="502"/>
      <c r="N329" s="135" t="s">
        <v>468</v>
      </c>
      <c r="O329" s="79">
        <v>6108</v>
      </c>
      <c r="P329" s="79">
        <f>Q329/O329</f>
        <v>381.11984282907662</v>
      </c>
      <c r="Q329" s="79">
        <v>2327880</v>
      </c>
      <c r="R329" s="503">
        <f>Q329</f>
        <v>2327880</v>
      </c>
      <c r="S329" s="79">
        <v>2327880</v>
      </c>
      <c r="T329" s="79">
        <v>2327880</v>
      </c>
      <c r="U329" s="39">
        <v>1851920</v>
      </c>
      <c r="V329" s="39">
        <f>U329</f>
        <v>1851920</v>
      </c>
      <c r="W329" s="39">
        <v>0</v>
      </c>
      <c r="X329" s="39">
        <f>W329</f>
        <v>0</v>
      </c>
      <c r="Y329" s="39">
        <v>0</v>
      </c>
      <c r="Z329" s="40">
        <f>Y329</f>
        <v>0</v>
      </c>
      <c r="AA329" s="904"/>
      <c r="AB329" s="904"/>
      <c r="AC329" s="904"/>
      <c r="AD329" s="904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</row>
    <row r="330" spans="1:87" s="268" customFormat="1" ht="45" customHeight="1">
      <c r="A330" s="504" t="s">
        <v>192</v>
      </c>
      <c r="B330" s="977"/>
      <c r="C330" s="977"/>
      <c r="D330" s="977"/>
      <c r="E330" s="977"/>
      <c r="F330" s="977"/>
      <c r="G330" s="977"/>
      <c r="H330" s="977"/>
      <c r="I330" s="1067"/>
      <c r="J330" s="500">
        <v>1591</v>
      </c>
      <c r="K330" s="501">
        <v>3400</v>
      </c>
      <c r="L330" s="501"/>
      <c r="M330" s="155"/>
      <c r="N330" s="135" t="s">
        <v>468</v>
      </c>
      <c r="O330" s="79">
        <v>17</v>
      </c>
      <c r="P330" s="79">
        <v>199.98</v>
      </c>
      <c r="Q330" s="79">
        <v>3400</v>
      </c>
      <c r="R330" s="79">
        <v>3400</v>
      </c>
      <c r="S330" s="79">
        <v>3400</v>
      </c>
      <c r="T330" s="79">
        <v>3400</v>
      </c>
      <c r="U330" s="39">
        <v>3399.66</v>
      </c>
      <c r="V330" s="39">
        <f t="shared" ref="V330:V358" si="101">U330</f>
        <v>3399.66</v>
      </c>
      <c r="W330" s="39">
        <v>0</v>
      </c>
      <c r="X330" s="39">
        <f t="shared" ref="X330:X357" si="102">W330</f>
        <v>0</v>
      </c>
      <c r="Y330" s="39">
        <v>0</v>
      </c>
      <c r="Z330" s="40">
        <f t="shared" ref="Z330:Z358" si="103">Y330</f>
        <v>0</v>
      </c>
      <c r="AA330" s="904"/>
      <c r="AB330" s="904"/>
      <c r="AC330" s="904"/>
      <c r="AD330" s="904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</row>
    <row r="331" spans="1:87" s="268" customFormat="1" ht="40.5">
      <c r="A331" s="499" t="s">
        <v>190</v>
      </c>
      <c r="B331" s="977"/>
      <c r="C331" s="977"/>
      <c r="D331" s="977"/>
      <c r="E331" s="977"/>
      <c r="F331" s="977"/>
      <c r="G331" s="977"/>
      <c r="H331" s="977"/>
      <c r="I331" s="1067"/>
      <c r="J331" s="500">
        <v>1858829.98</v>
      </c>
      <c r="K331" s="501">
        <v>1899710</v>
      </c>
      <c r="L331" s="501"/>
      <c r="M331" s="502"/>
      <c r="N331" s="505" t="s">
        <v>469</v>
      </c>
      <c r="O331" s="79">
        <v>5196</v>
      </c>
      <c r="P331" s="79">
        <v>365.6</v>
      </c>
      <c r="Q331" s="79">
        <v>1899900</v>
      </c>
      <c r="R331" s="136">
        <v>1899900</v>
      </c>
      <c r="S331" s="79">
        <v>1899900</v>
      </c>
      <c r="T331" s="79">
        <v>1899900</v>
      </c>
      <c r="U331" s="39">
        <v>1766600</v>
      </c>
      <c r="V331" s="39">
        <f t="shared" si="101"/>
        <v>1766600</v>
      </c>
      <c r="W331" s="39">
        <v>0</v>
      </c>
      <c r="X331" s="39">
        <f t="shared" si="102"/>
        <v>0</v>
      </c>
      <c r="Y331" s="39">
        <v>0</v>
      </c>
      <c r="Z331" s="40">
        <f t="shared" si="103"/>
        <v>0</v>
      </c>
      <c r="AA331" s="904"/>
      <c r="AB331" s="904"/>
      <c r="AC331" s="904"/>
      <c r="AD331" s="904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</row>
    <row r="332" spans="1:87" s="268" customFormat="1" ht="40.5">
      <c r="A332" s="506" t="s">
        <v>153</v>
      </c>
      <c r="B332" s="977"/>
      <c r="C332" s="977"/>
      <c r="D332" s="977"/>
      <c r="E332" s="977"/>
      <c r="F332" s="977"/>
      <c r="G332" s="977"/>
      <c r="H332" s="977"/>
      <c r="I332" s="1067"/>
      <c r="J332" s="500">
        <v>1592422.63</v>
      </c>
      <c r="K332" s="501">
        <v>1625720</v>
      </c>
      <c r="L332" s="501"/>
      <c r="M332" s="502"/>
      <c r="N332" s="135" t="s">
        <v>469</v>
      </c>
      <c r="O332" s="79">
        <v>4490</v>
      </c>
      <c r="P332" s="79">
        <v>363</v>
      </c>
      <c r="Q332" s="79">
        <v>1629950</v>
      </c>
      <c r="R332" s="136">
        <v>1629950</v>
      </c>
      <c r="S332" s="79">
        <v>1629950</v>
      </c>
      <c r="T332" s="79">
        <v>1629950</v>
      </c>
      <c r="U332" s="39">
        <v>1256633</v>
      </c>
      <c r="V332" s="39">
        <f t="shared" si="101"/>
        <v>1256633</v>
      </c>
      <c r="W332" s="39">
        <v>0</v>
      </c>
      <c r="X332" s="39">
        <f t="shared" si="102"/>
        <v>0</v>
      </c>
      <c r="Y332" s="39">
        <v>0</v>
      </c>
      <c r="Z332" s="40">
        <f t="shared" si="103"/>
        <v>0</v>
      </c>
      <c r="AA332" s="904"/>
      <c r="AB332" s="904"/>
      <c r="AC332" s="904"/>
      <c r="AD332" s="904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</row>
    <row r="333" spans="1:87" s="268" customFormat="1" ht="40.5">
      <c r="A333" s="499" t="s">
        <v>154</v>
      </c>
      <c r="B333" s="977"/>
      <c r="C333" s="977"/>
      <c r="D333" s="977"/>
      <c r="E333" s="977"/>
      <c r="F333" s="977"/>
      <c r="G333" s="977"/>
      <c r="H333" s="977"/>
      <c r="I333" s="1067"/>
      <c r="J333" s="500">
        <v>1652464.32</v>
      </c>
      <c r="K333" s="444">
        <v>1791930</v>
      </c>
      <c r="L333" s="443"/>
      <c r="M333" s="155"/>
      <c r="N333" s="505" t="s">
        <v>469</v>
      </c>
      <c r="O333" s="79">
        <v>6000</v>
      </c>
      <c r="P333" s="79">
        <v>359.9</v>
      </c>
      <c r="Q333" s="79">
        <v>2159500</v>
      </c>
      <c r="R333" s="79">
        <v>2159500</v>
      </c>
      <c r="S333" s="79">
        <v>2159500</v>
      </c>
      <c r="T333" s="79">
        <v>2159500</v>
      </c>
      <c r="U333" s="39">
        <v>1599667</v>
      </c>
      <c r="V333" s="39">
        <f t="shared" si="101"/>
        <v>1599667</v>
      </c>
      <c r="W333" s="39">
        <v>0</v>
      </c>
      <c r="X333" s="39">
        <f t="shared" si="102"/>
        <v>0</v>
      </c>
      <c r="Y333" s="39">
        <v>0</v>
      </c>
      <c r="Z333" s="40">
        <f t="shared" si="103"/>
        <v>0</v>
      </c>
      <c r="AA333" s="904"/>
      <c r="AB333" s="904"/>
      <c r="AC333" s="904"/>
      <c r="AD333" s="904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</row>
    <row r="334" spans="1:87" s="268" customFormat="1" ht="40.5">
      <c r="A334" s="504" t="s">
        <v>167</v>
      </c>
      <c r="B334" s="977"/>
      <c r="C334" s="977"/>
      <c r="D334" s="977"/>
      <c r="E334" s="977"/>
      <c r="F334" s="977"/>
      <c r="G334" s="977"/>
      <c r="H334" s="977"/>
      <c r="I334" s="1067"/>
      <c r="J334" s="507">
        <v>2801388.39</v>
      </c>
      <c r="K334" s="444">
        <v>3167580</v>
      </c>
      <c r="L334" s="443"/>
      <c r="M334" s="508"/>
      <c r="N334" s="505" t="s">
        <v>469</v>
      </c>
      <c r="O334" s="79">
        <v>8497</v>
      </c>
      <c r="P334" s="79">
        <v>372.8</v>
      </c>
      <c r="Q334" s="79">
        <v>3167400</v>
      </c>
      <c r="R334" s="79">
        <v>3167400</v>
      </c>
      <c r="S334" s="79">
        <v>3167400</v>
      </c>
      <c r="T334" s="79">
        <v>3167400</v>
      </c>
      <c r="U334" s="39">
        <v>2301554</v>
      </c>
      <c r="V334" s="39">
        <f t="shared" si="101"/>
        <v>2301554</v>
      </c>
      <c r="W334" s="39">
        <v>0</v>
      </c>
      <c r="X334" s="39">
        <f t="shared" si="102"/>
        <v>0</v>
      </c>
      <c r="Y334" s="39">
        <v>0</v>
      </c>
      <c r="Z334" s="40">
        <f t="shared" si="103"/>
        <v>0</v>
      </c>
      <c r="AA334" s="904"/>
      <c r="AB334" s="904"/>
      <c r="AC334" s="904"/>
      <c r="AD334" s="904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</row>
    <row r="335" spans="1:87" s="268" customFormat="1" ht="40.5">
      <c r="A335" s="504" t="s">
        <v>169</v>
      </c>
      <c r="B335" s="977"/>
      <c r="C335" s="977"/>
      <c r="D335" s="977"/>
      <c r="E335" s="977"/>
      <c r="F335" s="977"/>
      <c r="G335" s="977"/>
      <c r="H335" s="977"/>
      <c r="I335" s="1067"/>
      <c r="J335" s="500">
        <v>753935.79</v>
      </c>
      <c r="K335" s="501">
        <v>752265</v>
      </c>
      <c r="L335" s="501"/>
      <c r="M335" s="164"/>
      <c r="N335" s="135" t="s">
        <v>469</v>
      </c>
      <c r="O335" s="79">
        <v>1816</v>
      </c>
      <c r="P335" s="79">
        <v>414.24279999999999</v>
      </c>
      <c r="Q335" s="79">
        <f>ROUND(P335*O335,0)</f>
        <v>752265</v>
      </c>
      <c r="R335" s="136">
        <v>752265</v>
      </c>
      <c r="S335" s="79">
        <v>752265</v>
      </c>
      <c r="T335" s="79">
        <v>752265</v>
      </c>
      <c r="U335" s="39">
        <v>612281</v>
      </c>
      <c r="V335" s="39">
        <f t="shared" si="101"/>
        <v>612281</v>
      </c>
      <c r="W335" s="39">
        <v>0</v>
      </c>
      <c r="X335" s="39">
        <f t="shared" si="102"/>
        <v>0</v>
      </c>
      <c r="Y335" s="39">
        <v>0</v>
      </c>
      <c r="Z335" s="40">
        <f t="shared" si="103"/>
        <v>0</v>
      </c>
      <c r="AA335" s="904"/>
      <c r="AB335" s="904"/>
      <c r="AC335" s="904"/>
      <c r="AD335" s="904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</row>
    <row r="336" spans="1:87" s="268" customFormat="1" ht="40.5">
      <c r="A336" s="499" t="s">
        <v>156</v>
      </c>
      <c r="B336" s="977"/>
      <c r="C336" s="977"/>
      <c r="D336" s="977"/>
      <c r="E336" s="977"/>
      <c r="F336" s="977"/>
      <c r="G336" s="977"/>
      <c r="H336" s="977"/>
      <c r="I336" s="1067"/>
      <c r="J336" s="500">
        <v>1110872.95</v>
      </c>
      <c r="K336" s="501">
        <v>1116625</v>
      </c>
      <c r="L336" s="501"/>
      <c r="M336" s="502"/>
      <c r="N336" s="505" t="s">
        <v>469</v>
      </c>
      <c r="O336" s="79">
        <v>3078</v>
      </c>
      <c r="P336" s="79">
        <v>377.88350000000003</v>
      </c>
      <c r="Q336" s="79">
        <f>O336*P336</f>
        <v>1163125.4130000002</v>
      </c>
      <c r="R336" s="136">
        <v>1163125</v>
      </c>
      <c r="S336" s="79">
        <v>1163125</v>
      </c>
      <c r="T336" s="79">
        <v>1163125</v>
      </c>
      <c r="U336" s="39">
        <v>975416</v>
      </c>
      <c r="V336" s="39">
        <f t="shared" si="101"/>
        <v>975416</v>
      </c>
      <c r="W336" s="39">
        <v>0</v>
      </c>
      <c r="X336" s="39">
        <f t="shared" si="102"/>
        <v>0</v>
      </c>
      <c r="Y336" s="39">
        <v>0</v>
      </c>
      <c r="Z336" s="40">
        <f t="shared" si="103"/>
        <v>0</v>
      </c>
      <c r="AA336" s="904"/>
      <c r="AB336" s="904"/>
      <c r="AC336" s="904"/>
      <c r="AD336" s="904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</row>
    <row r="337" spans="1:87" s="268" customFormat="1" ht="40.5">
      <c r="A337" s="499" t="s">
        <v>157</v>
      </c>
      <c r="B337" s="977"/>
      <c r="C337" s="977"/>
      <c r="D337" s="977"/>
      <c r="E337" s="977"/>
      <c r="F337" s="977"/>
      <c r="G337" s="977"/>
      <c r="H337" s="977"/>
      <c r="I337" s="1067"/>
      <c r="J337" s="500">
        <v>855084.53</v>
      </c>
      <c r="K337" s="501">
        <v>857280</v>
      </c>
      <c r="L337" s="501"/>
      <c r="M337" s="155"/>
      <c r="N337" s="505" t="s">
        <v>469</v>
      </c>
      <c r="O337" s="79">
        <v>2366</v>
      </c>
      <c r="P337" s="79">
        <v>361.4</v>
      </c>
      <c r="Q337" s="79">
        <v>855065</v>
      </c>
      <c r="R337" s="136">
        <v>855065</v>
      </c>
      <c r="S337" s="79">
        <v>855065</v>
      </c>
      <c r="T337" s="79">
        <v>855065</v>
      </c>
      <c r="U337" s="39">
        <v>650044</v>
      </c>
      <c r="V337" s="39">
        <f t="shared" si="101"/>
        <v>650044</v>
      </c>
      <c r="W337" s="39">
        <v>0</v>
      </c>
      <c r="X337" s="39">
        <f t="shared" si="102"/>
        <v>0</v>
      </c>
      <c r="Y337" s="39">
        <v>0</v>
      </c>
      <c r="Z337" s="40">
        <f t="shared" si="103"/>
        <v>0</v>
      </c>
      <c r="AA337" s="904"/>
      <c r="AB337" s="904"/>
      <c r="AC337" s="904"/>
      <c r="AD337" s="904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</row>
    <row r="338" spans="1:87" s="268" customFormat="1" ht="45.75" customHeight="1">
      <c r="A338" s="504" t="s">
        <v>158</v>
      </c>
      <c r="B338" s="977"/>
      <c r="C338" s="977"/>
      <c r="D338" s="977"/>
      <c r="E338" s="977"/>
      <c r="F338" s="977"/>
      <c r="G338" s="977"/>
      <c r="H338" s="977"/>
      <c r="I338" s="1067"/>
      <c r="J338" s="500">
        <v>812838</v>
      </c>
      <c r="K338" s="501">
        <v>601020</v>
      </c>
      <c r="L338" s="501"/>
      <c r="M338" s="509"/>
      <c r="N338" s="505" t="s">
        <v>469</v>
      </c>
      <c r="O338" s="79">
        <v>1634</v>
      </c>
      <c r="P338" s="79">
        <v>368.11199499999998</v>
      </c>
      <c r="Q338" s="79">
        <f>O338*P338</f>
        <v>601494.99982999999</v>
      </c>
      <c r="R338" s="79">
        <v>601495</v>
      </c>
      <c r="S338" s="79">
        <v>601495</v>
      </c>
      <c r="T338" s="79">
        <v>601495</v>
      </c>
      <c r="U338" s="39">
        <v>500996</v>
      </c>
      <c r="V338" s="39">
        <f t="shared" si="101"/>
        <v>500996</v>
      </c>
      <c r="W338" s="39">
        <v>0</v>
      </c>
      <c r="X338" s="39">
        <f t="shared" si="102"/>
        <v>0</v>
      </c>
      <c r="Y338" s="39">
        <v>0</v>
      </c>
      <c r="Z338" s="40">
        <f t="shared" si="103"/>
        <v>0</v>
      </c>
      <c r="AA338" s="904"/>
      <c r="AB338" s="904"/>
      <c r="AC338" s="904"/>
      <c r="AD338" s="904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</row>
    <row r="339" spans="1:87" s="268" customFormat="1" ht="60.75">
      <c r="A339" s="499" t="s">
        <v>159</v>
      </c>
      <c r="B339" s="977"/>
      <c r="C339" s="977"/>
      <c r="D339" s="977"/>
      <c r="E339" s="977"/>
      <c r="F339" s="977"/>
      <c r="G339" s="977"/>
      <c r="H339" s="977"/>
      <c r="I339" s="1067"/>
      <c r="J339" s="500">
        <v>1081568</v>
      </c>
      <c r="K339" s="501">
        <v>688355.41500000004</v>
      </c>
      <c r="L339" s="501"/>
      <c r="M339" s="510"/>
      <c r="N339" s="135" t="s">
        <v>468</v>
      </c>
      <c r="O339" s="79">
        <v>1825</v>
      </c>
      <c r="P339" s="79">
        <v>364.8</v>
      </c>
      <c r="Q339" s="79">
        <v>665775</v>
      </c>
      <c r="R339" s="79">
        <v>665775</v>
      </c>
      <c r="S339" s="79">
        <v>665775</v>
      </c>
      <c r="T339" s="79">
        <v>665775</v>
      </c>
      <c r="U339" s="39">
        <v>488349</v>
      </c>
      <c r="V339" s="39">
        <f t="shared" si="101"/>
        <v>488349</v>
      </c>
      <c r="W339" s="39">
        <v>0</v>
      </c>
      <c r="X339" s="39">
        <f t="shared" si="102"/>
        <v>0</v>
      </c>
      <c r="Y339" s="39">
        <v>0</v>
      </c>
      <c r="Z339" s="40">
        <f t="shared" si="103"/>
        <v>0</v>
      </c>
      <c r="AA339" s="904"/>
      <c r="AB339" s="904"/>
      <c r="AC339" s="904"/>
      <c r="AD339" s="904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</row>
    <row r="340" spans="1:87" s="268" customFormat="1" ht="40.5">
      <c r="A340" s="499" t="s">
        <v>160</v>
      </c>
      <c r="B340" s="977"/>
      <c r="C340" s="977"/>
      <c r="D340" s="977"/>
      <c r="E340" s="977"/>
      <c r="F340" s="977"/>
      <c r="G340" s="977"/>
      <c r="H340" s="977"/>
      <c r="I340" s="1067"/>
      <c r="J340" s="500">
        <v>365397.6</v>
      </c>
      <c r="K340" s="501">
        <v>448920</v>
      </c>
      <c r="L340" s="501"/>
      <c r="M340" s="164"/>
      <c r="N340" s="135" t="s">
        <v>469</v>
      </c>
      <c r="O340" s="79">
        <v>1152</v>
      </c>
      <c r="P340" s="79">
        <v>389.7</v>
      </c>
      <c r="Q340" s="79">
        <v>448920</v>
      </c>
      <c r="R340" s="136">
        <v>448920</v>
      </c>
      <c r="S340" s="79">
        <v>448920</v>
      </c>
      <c r="T340" s="79">
        <v>448920</v>
      </c>
      <c r="U340" s="39">
        <f>224460+74820</f>
        <v>299280</v>
      </c>
      <c r="V340" s="39">
        <f t="shared" si="101"/>
        <v>299280</v>
      </c>
      <c r="W340" s="39">
        <v>0</v>
      </c>
      <c r="X340" s="39">
        <f t="shared" si="102"/>
        <v>0</v>
      </c>
      <c r="Y340" s="39">
        <v>0</v>
      </c>
      <c r="Z340" s="40">
        <f t="shared" si="103"/>
        <v>0</v>
      </c>
      <c r="AA340" s="904"/>
      <c r="AB340" s="904"/>
      <c r="AC340" s="904"/>
      <c r="AD340" s="904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</row>
    <row r="341" spans="1:87" s="268" customFormat="1" ht="60.75">
      <c r="A341" s="504" t="s">
        <v>161</v>
      </c>
      <c r="B341" s="977"/>
      <c r="C341" s="977"/>
      <c r="D341" s="977"/>
      <c r="E341" s="977"/>
      <c r="F341" s="977"/>
      <c r="G341" s="977"/>
      <c r="H341" s="977"/>
      <c r="I341" s="1067"/>
      <c r="J341" s="500">
        <v>576957.18000000005</v>
      </c>
      <c r="K341" s="444">
        <v>665640</v>
      </c>
      <c r="L341" s="443"/>
      <c r="M341" s="155"/>
      <c r="N341" s="505" t="s">
        <v>469</v>
      </c>
      <c r="O341" s="79">
        <v>1790</v>
      </c>
      <c r="P341" s="79">
        <v>360.39</v>
      </c>
      <c r="Q341" s="79">
        <v>645100</v>
      </c>
      <c r="R341" s="79">
        <v>645100</v>
      </c>
      <c r="S341" s="79">
        <v>645100</v>
      </c>
      <c r="T341" s="79">
        <v>645100</v>
      </c>
      <c r="U341" s="39">
        <v>477919</v>
      </c>
      <c r="V341" s="39">
        <f t="shared" si="101"/>
        <v>477919</v>
      </c>
      <c r="W341" s="39">
        <v>0</v>
      </c>
      <c r="X341" s="39">
        <f t="shared" si="102"/>
        <v>0</v>
      </c>
      <c r="Y341" s="39">
        <v>0</v>
      </c>
      <c r="Z341" s="40">
        <f t="shared" si="103"/>
        <v>0</v>
      </c>
      <c r="AA341" s="904"/>
      <c r="AB341" s="904"/>
      <c r="AC341" s="904"/>
      <c r="AD341" s="904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</row>
    <row r="342" spans="1:87" s="268" customFormat="1" ht="40.5">
      <c r="A342" s="504" t="s">
        <v>162</v>
      </c>
      <c r="B342" s="977"/>
      <c r="C342" s="977"/>
      <c r="D342" s="977"/>
      <c r="E342" s="977"/>
      <c r="F342" s="977"/>
      <c r="G342" s="977"/>
      <c r="H342" s="977"/>
      <c r="I342" s="1067"/>
      <c r="J342" s="500">
        <v>269804.28999999998</v>
      </c>
      <c r="K342" s="444">
        <v>265140</v>
      </c>
      <c r="L342" s="443"/>
      <c r="M342" s="155"/>
      <c r="N342" s="505" t="s">
        <v>469</v>
      </c>
      <c r="O342" s="79">
        <v>740</v>
      </c>
      <c r="P342" s="79">
        <v>365.2</v>
      </c>
      <c r="Q342" s="79">
        <v>270250</v>
      </c>
      <c r="R342" s="79">
        <v>270250</v>
      </c>
      <c r="S342" s="79">
        <v>270250</v>
      </c>
      <c r="T342" s="79">
        <v>270250</v>
      </c>
      <c r="U342" s="39">
        <f>135125+45042</f>
        <v>180167</v>
      </c>
      <c r="V342" s="39">
        <f t="shared" si="101"/>
        <v>180167</v>
      </c>
      <c r="W342" s="39">
        <v>0</v>
      </c>
      <c r="X342" s="39">
        <f t="shared" si="102"/>
        <v>0</v>
      </c>
      <c r="Y342" s="39">
        <v>0</v>
      </c>
      <c r="Z342" s="40">
        <f t="shared" si="103"/>
        <v>0</v>
      </c>
      <c r="AA342" s="904"/>
      <c r="AB342" s="904"/>
      <c r="AC342" s="904"/>
      <c r="AD342" s="904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</row>
    <row r="343" spans="1:87" s="268" customFormat="1" ht="60.75">
      <c r="A343" s="504" t="s">
        <v>163</v>
      </c>
      <c r="B343" s="977"/>
      <c r="C343" s="977"/>
      <c r="D343" s="977"/>
      <c r="E343" s="977"/>
      <c r="F343" s="977"/>
      <c r="G343" s="977"/>
      <c r="H343" s="977"/>
      <c r="I343" s="1067"/>
      <c r="J343" s="500">
        <v>651960</v>
      </c>
      <c r="K343" s="501">
        <v>520400</v>
      </c>
      <c r="L343" s="501"/>
      <c r="M343" s="155"/>
      <c r="N343" s="505" t="s">
        <v>469</v>
      </c>
      <c r="O343" s="79">
        <v>1596</v>
      </c>
      <c r="P343" s="79">
        <v>347.31203007518798</v>
      </c>
      <c r="Q343" s="79">
        <v>554310</v>
      </c>
      <c r="R343" s="136">
        <v>554310</v>
      </c>
      <c r="S343" s="136">
        <v>554310</v>
      </c>
      <c r="T343" s="136">
        <v>554310</v>
      </c>
      <c r="U343" s="39">
        <v>396425</v>
      </c>
      <c r="V343" s="39">
        <f t="shared" si="101"/>
        <v>396425</v>
      </c>
      <c r="W343" s="39">
        <v>0</v>
      </c>
      <c r="X343" s="39">
        <f t="shared" si="102"/>
        <v>0</v>
      </c>
      <c r="Y343" s="39">
        <v>0</v>
      </c>
      <c r="Z343" s="40">
        <f t="shared" si="103"/>
        <v>0</v>
      </c>
      <c r="AA343" s="904"/>
      <c r="AB343" s="904"/>
      <c r="AC343" s="904"/>
      <c r="AD343" s="904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</row>
    <row r="344" spans="1:87" s="268" customFormat="1" ht="63.75" customHeight="1">
      <c r="A344" s="504" t="s">
        <v>164</v>
      </c>
      <c r="B344" s="977"/>
      <c r="C344" s="977"/>
      <c r="D344" s="977"/>
      <c r="E344" s="977"/>
      <c r="F344" s="977"/>
      <c r="G344" s="977"/>
      <c r="H344" s="977"/>
      <c r="I344" s="1067"/>
      <c r="J344" s="500">
        <v>127339</v>
      </c>
      <c r="K344" s="501">
        <v>135750</v>
      </c>
      <c r="L344" s="501"/>
      <c r="M344" s="502"/>
      <c r="N344" s="135" t="s">
        <v>469</v>
      </c>
      <c r="O344" s="79">
        <v>372</v>
      </c>
      <c r="P344" s="79">
        <v>364.9</v>
      </c>
      <c r="Q344" s="79">
        <v>135750</v>
      </c>
      <c r="R344" s="136">
        <v>135750</v>
      </c>
      <c r="S344" s="79">
        <v>135750</v>
      </c>
      <c r="T344" s="79">
        <v>135750</v>
      </c>
      <c r="U344" s="39">
        <f>67875+22625</f>
        <v>90500</v>
      </c>
      <c r="V344" s="39">
        <f t="shared" si="101"/>
        <v>90500</v>
      </c>
      <c r="W344" s="39">
        <v>0</v>
      </c>
      <c r="X344" s="39">
        <f t="shared" si="102"/>
        <v>0</v>
      </c>
      <c r="Y344" s="39">
        <v>0</v>
      </c>
      <c r="Z344" s="40">
        <f t="shared" si="103"/>
        <v>0</v>
      </c>
      <c r="AA344" s="904"/>
      <c r="AB344" s="904"/>
      <c r="AC344" s="904"/>
      <c r="AD344" s="904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</row>
    <row r="345" spans="1:87" s="268" customFormat="1" ht="76.5" customHeight="1">
      <c r="A345" s="499" t="s">
        <v>165</v>
      </c>
      <c r="B345" s="977"/>
      <c r="C345" s="977"/>
      <c r="D345" s="977"/>
      <c r="E345" s="977"/>
      <c r="F345" s="977"/>
      <c r="G345" s="977"/>
      <c r="H345" s="977"/>
      <c r="I345" s="1067"/>
      <c r="J345" s="500">
        <v>266677</v>
      </c>
      <c r="K345" s="501">
        <v>270780</v>
      </c>
      <c r="L345" s="501"/>
      <c r="M345" s="502"/>
      <c r="N345" s="135" t="s">
        <v>468</v>
      </c>
      <c r="O345" s="79">
        <v>756</v>
      </c>
      <c r="P345" s="79">
        <v>366.4</v>
      </c>
      <c r="Q345" s="79">
        <v>274920</v>
      </c>
      <c r="R345" s="136">
        <v>274920</v>
      </c>
      <c r="S345" s="136">
        <v>274920</v>
      </c>
      <c r="T345" s="136">
        <v>274920</v>
      </c>
      <c r="U345" s="39">
        <v>211740</v>
      </c>
      <c r="V345" s="39">
        <f t="shared" si="101"/>
        <v>211740</v>
      </c>
      <c r="W345" s="39">
        <v>0</v>
      </c>
      <c r="X345" s="39">
        <f t="shared" si="102"/>
        <v>0</v>
      </c>
      <c r="Y345" s="39">
        <v>0</v>
      </c>
      <c r="Z345" s="40">
        <f t="shared" si="103"/>
        <v>0</v>
      </c>
      <c r="AA345" s="904"/>
      <c r="AB345" s="904"/>
      <c r="AC345" s="904"/>
      <c r="AD345" s="904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</row>
    <row r="346" spans="1:87" s="268" customFormat="1" ht="53.25" customHeight="1">
      <c r="A346" s="511" t="s">
        <v>166</v>
      </c>
      <c r="B346" s="977"/>
      <c r="C346" s="977"/>
      <c r="D346" s="977"/>
      <c r="E346" s="977"/>
      <c r="F346" s="977"/>
      <c r="G346" s="977"/>
      <c r="H346" s="977"/>
      <c r="I346" s="1067"/>
      <c r="J346" s="500">
        <v>199002.3</v>
      </c>
      <c r="K346" s="501">
        <v>243225.60000000001</v>
      </c>
      <c r="L346" s="501"/>
      <c r="M346" s="510"/>
      <c r="N346" s="135" t="s">
        <v>468</v>
      </c>
      <c r="O346" s="79">
        <v>761</v>
      </c>
      <c r="P346" s="79">
        <v>394.38</v>
      </c>
      <c r="Q346" s="79">
        <v>300125</v>
      </c>
      <c r="R346" s="136">
        <v>300125</v>
      </c>
      <c r="S346" s="79">
        <v>300125</v>
      </c>
      <c r="T346" s="79">
        <v>300125</v>
      </c>
      <c r="U346" s="39">
        <v>217042</v>
      </c>
      <c r="V346" s="39">
        <f t="shared" si="101"/>
        <v>217042</v>
      </c>
      <c r="W346" s="39">
        <v>0</v>
      </c>
      <c r="X346" s="39">
        <f t="shared" si="102"/>
        <v>0</v>
      </c>
      <c r="Y346" s="39">
        <v>0</v>
      </c>
      <c r="Z346" s="40">
        <f t="shared" si="103"/>
        <v>0</v>
      </c>
      <c r="AA346" s="904"/>
      <c r="AB346" s="904"/>
      <c r="AC346" s="904"/>
      <c r="AD346" s="904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</row>
    <row r="347" spans="1:87" s="268" customFormat="1" ht="71.25" customHeight="1">
      <c r="A347" s="499" t="s">
        <v>168</v>
      </c>
      <c r="B347" s="977"/>
      <c r="C347" s="977"/>
      <c r="D347" s="977"/>
      <c r="E347" s="977"/>
      <c r="F347" s="977"/>
      <c r="G347" s="977"/>
      <c r="H347" s="977"/>
      <c r="I347" s="1067"/>
      <c r="J347" s="500">
        <v>531469.1</v>
      </c>
      <c r="K347" s="501">
        <v>610265</v>
      </c>
      <c r="L347" s="501"/>
      <c r="M347" s="512"/>
      <c r="N347" s="135" t="s">
        <v>468</v>
      </c>
      <c r="O347" s="79">
        <v>1596</v>
      </c>
      <c r="P347" s="79">
        <v>358.8</v>
      </c>
      <c r="Q347" s="79">
        <v>572615</v>
      </c>
      <c r="R347" s="136">
        <v>572615</v>
      </c>
      <c r="S347" s="79">
        <v>572615</v>
      </c>
      <c r="T347" s="79">
        <v>572615</v>
      </c>
      <c r="U347" s="39">
        <v>481744</v>
      </c>
      <c r="V347" s="39">
        <f t="shared" si="101"/>
        <v>481744</v>
      </c>
      <c r="W347" s="39">
        <v>0</v>
      </c>
      <c r="X347" s="39">
        <f t="shared" si="102"/>
        <v>0</v>
      </c>
      <c r="Y347" s="39">
        <v>0</v>
      </c>
      <c r="Z347" s="40">
        <f t="shared" si="103"/>
        <v>0</v>
      </c>
      <c r="AA347" s="904"/>
      <c r="AB347" s="904"/>
      <c r="AC347" s="904"/>
      <c r="AD347" s="904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</row>
    <row r="348" spans="1:87" s="268" customFormat="1" ht="72.75" customHeight="1">
      <c r="A348" s="504" t="s">
        <v>172</v>
      </c>
      <c r="B348" s="977"/>
      <c r="C348" s="977"/>
      <c r="D348" s="977"/>
      <c r="E348" s="977"/>
      <c r="F348" s="977"/>
      <c r="G348" s="977"/>
      <c r="H348" s="977"/>
      <c r="I348" s="1067"/>
      <c r="J348" s="500">
        <v>234377</v>
      </c>
      <c r="K348" s="444">
        <v>252000</v>
      </c>
      <c r="L348" s="443"/>
      <c r="M348" s="513"/>
      <c r="N348" s="505" t="s">
        <v>469</v>
      </c>
      <c r="O348" s="79">
        <v>754</v>
      </c>
      <c r="P348" s="79">
        <v>359.9</v>
      </c>
      <c r="Q348" s="79">
        <v>271390</v>
      </c>
      <c r="R348" s="136">
        <v>271390</v>
      </c>
      <c r="S348" s="79">
        <v>271390</v>
      </c>
      <c r="T348" s="79">
        <v>271390</v>
      </c>
      <c r="U348" s="39">
        <v>199150</v>
      </c>
      <c r="V348" s="39">
        <f t="shared" si="101"/>
        <v>199150</v>
      </c>
      <c r="W348" s="39">
        <v>0</v>
      </c>
      <c r="X348" s="39">
        <f t="shared" si="102"/>
        <v>0</v>
      </c>
      <c r="Y348" s="39">
        <v>0</v>
      </c>
      <c r="Z348" s="40">
        <f t="shared" si="103"/>
        <v>0</v>
      </c>
      <c r="AA348" s="904"/>
      <c r="AB348" s="904"/>
      <c r="AC348" s="904"/>
      <c r="AD348" s="904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</row>
    <row r="349" spans="1:87" s="268" customFormat="1" ht="72.75" customHeight="1">
      <c r="A349" s="499" t="s">
        <v>171</v>
      </c>
      <c r="B349" s="977"/>
      <c r="C349" s="977"/>
      <c r="D349" s="977"/>
      <c r="E349" s="977"/>
      <c r="F349" s="977"/>
      <c r="G349" s="977"/>
      <c r="H349" s="977"/>
      <c r="I349" s="1067"/>
      <c r="J349" s="500">
        <v>429246</v>
      </c>
      <c r="K349" s="444">
        <v>425075</v>
      </c>
      <c r="L349" s="501"/>
      <c r="M349" s="444"/>
      <c r="N349" s="505" t="s">
        <v>469</v>
      </c>
      <c r="O349" s="79">
        <v>1396</v>
      </c>
      <c r="P349" s="79">
        <v>357.73638</v>
      </c>
      <c r="Q349" s="79">
        <f>O349*P349</f>
        <v>499399.98648000002</v>
      </c>
      <c r="R349" s="136">
        <v>499400</v>
      </c>
      <c r="S349" s="79">
        <v>499400</v>
      </c>
      <c r="T349" s="79">
        <v>499400</v>
      </c>
      <c r="U349" s="39">
        <v>274605</v>
      </c>
      <c r="V349" s="39">
        <f t="shared" si="101"/>
        <v>274605</v>
      </c>
      <c r="W349" s="39">
        <v>0</v>
      </c>
      <c r="X349" s="39">
        <f t="shared" si="102"/>
        <v>0</v>
      </c>
      <c r="Y349" s="39">
        <v>0</v>
      </c>
      <c r="Z349" s="40">
        <f t="shared" si="103"/>
        <v>0</v>
      </c>
      <c r="AA349" s="904"/>
      <c r="AB349" s="904"/>
      <c r="AC349" s="904"/>
      <c r="AD349" s="904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</row>
    <row r="350" spans="1:87" s="268" customFormat="1" ht="72.75" customHeight="1">
      <c r="A350" s="504" t="s">
        <v>173</v>
      </c>
      <c r="B350" s="977"/>
      <c r="C350" s="977"/>
      <c r="D350" s="977"/>
      <c r="E350" s="977"/>
      <c r="F350" s="977"/>
      <c r="G350" s="977"/>
      <c r="H350" s="977"/>
      <c r="I350" s="1067"/>
      <c r="J350" s="500">
        <v>2315962.94</v>
      </c>
      <c r="K350" s="501">
        <v>2296550</v>
      </c>
      <c r="L350" s="501"/>
      <c r="M350" s="502"/>
      <c r="N350" s="505" t="s">
        <v>469</v>
      </c>
      <c r="O350" s="79">
        <v>6257</v>
      </c>
      <c r="P350" s="79">
        <v>367.04</v>
      </c>
      <c r="Q350" s="79">
        <v>2296550</v>
      </c>
      <c r="R350" s="136">
        <v>2296550</v>
      </c>
      <c r="S350" s="136">
        <v>2296550</v>
      </c>
      <c r="T350" s="136">
        <v>2296550</v>
      </c>
      <c r="U350" s="39">
        <v>1931033</v>
      </c>
      <c r="V350" s="39">
        <f t="shared" si="101"/>
        <v>1931033</v>
      </c>
      <c r="W350" s="39">
        <v>0</v>
      </c>
      <c r="X350" s="39">
        <f t="shared" si="102"/>
        <v>0</v>
      </c>
      <c r="Y350" s="39">
        <v>0</v>
      </c>
      <c r="Z350" s="40">
        <f t="shared" si="103"/>
        <v>0</v>
      </c>
      <c r="AA350" s="904"/>
      <c r="AB350" s="904"/>
      <c r="AC350" s="904"/>
      <c r="AD350" s="904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</row>
    <row r="351" spans="1:87" s="268" customFormat="1" ht="56.25" customHeight="1">
      <c r="A351" s="511" t="s">
        <v>174</v>
      </c>
      <c r="B351" s="977"/>
      <c r="C351" s="977"/>
      <c r="D351" s="977"/>
      <c r="E351" s="977"/>
      <c r="F351" s="977"/>
      <c r="G351" s="977"/>
      <c r="H351" s="977"/>
      <c r="I351" s="1067"/>
      <c r="J351" s="500">
        <v>769648.78</v>
      </c>
      <c r="K351" s="501">
        <v>795240</v>
      </c>
      <c r="L351" s="501"/>
      <c r="M351" s="510"/>
      <c r="N351" s="505" t="s">
        <v>469</v>
      </c>
      <c r="O351" s="79">
        <v>2076</v>
      </c>
      <c r="P351" s="79">
        <v>365</v>
      </c>
      <c r="Q351" s="79">
        <v>757800</v>
      </c>
      <c r="R351" s="79">
        <v>757800</v>
      </c>
      <c r="S351" s="79">
        <v>757800</v>
      </c>
      <c r="T351" s="79">
        <v>757800</v>
      </c>
      <c r="U351" s="39">
        <v>505160</v>
      </c>
      <c r="V351" s="39">
        <f t="shared" si="101"/>
        <v>505160</v>
      </c>
      <c r="W351" s="39">
        <v>0</v>
      </c>
      <c r="X351" s="39">
        <f t="shared" si="102"/>
        <v>0</v>
      </c>
      <c r="Y351" s="39">
        <v>0</v>
      </c>
      <c r="Z351" s="40">
        <f t="shared" si="103"/>
        <v>0</v>
      </c>
      <c r="AA351" s="904"/>
      <c r="AB351" s="904"/>
      <c r="AC351" s="904"/>
      <c r="AD351" s="904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</row>
    <row r="352" spans="1:87" s="268" customFormat="1" ht="83.25" customHeight="1">
      <c r="A352" s="499" t="s">
        <v>176</v>
      </c>
      <c r="B352" s="977"/>
      <c r="C352" s="977"/>
      <c r="D352" s="977"/>
      <c r="E352" s="977"/>
      <c r="F352" s="977"/>
      <c r="G352" s="977"/>
      <c r="H352" s="977"/>
      <c r="I352" s="1067"/>
      <c r="J352" s="500">
        <v>657755.86</v>
      </c>
      <c r="K352" s="501">
        <v>885900</v>
      </c>
      <c r="L352" s="501"/>
      <c r="M352" s="510"/>
      <c r="N352" s="505" t="s">
        <v>469</v>
      </c>
      <c r="O352" s="79">
        <v>2433</v>
      </c>
      <c r="P352" s="79">
        <v>367.4907</v>
      </c>
      <c r="Q352" s="79">
        <v>894105</v>
      </c>
      <c r="R352" s="79">
        <v>894105</v>
      </c>
      <c r="S352" s="79">
        <v>894105</v>
      </c>
      <c r="T352" s="79">
        <v>894105</v>
      </c>
      <c r="U352" s="39">
        <v>745087</v>
      </c>
      <c r="V352" s="39">
        <f t="shared" si="101"/>
        <v>745087</v>
      </c>
      <c r="W352" s="39">
        <v>0</v>
      </c>
      <c r="X352" s="39">
        <f t="shared" si="102"/>
        <v>0</v>
      </c>
      <c r="Y352" s="39">
        <v>0</v>
      </c>
      <c r="Z352" s="40">
        <f t="shared" si="103"/>
        <v>0</v>
      </c>
      <c r="AA352" s="904"/>
      <c r="AB352" s="904"/>
      <c r="AC352" s="904"/>
      <c r="AD352" s="904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</row>
    <row r="353" spans="1:87" s="268" customFormat="1" ht="62.25" customHeight="1">
      <c r="A353" s="499" t="s">
        <v>175</v>
      </c>
      <c r="B353" s="977"/>
      <c r="C353" s="977"/>
      <c r="D353" s="977"/>
      <c r="E353" s="977"/>
      <c r="F353" s="977"/>
      <c r="G353" s="977"/>
      <c r="H353" s="977"/>
      <c r="I353" s="1067"/>
      <c r="J353" s="500">
        <v>142723</v>
      </c>
      <c r="K353" s="444">
        <v>140200</v>
      </c>
      <c r="L353" s="443"/>
      <c r="M353" s="155"/>
      <c r="N353" s="505" t="s">
        <v>469</v>
      </c>
      <c r="O353" s="79">
        <v>362</v>
      </c>
      <c r="P353" s="79">
        <v>382.9</v>
      </c>
      <c r="Q353" s="79">
        <v>138600</v>
      </c>
      <c r="R353" s="136">
        <v>138600</v>
      </c>
      <c r="S353" s="79">
        <v>138600</v>
      </c>
      <c r="T353" s="79">
        <v>138600</v>
      </c>
      <c r="U353" s="39">
        <v>69300</v>
      </c>
      <c r="V353" s="39">
        <f t="shared" si="101"/>
        <v>69300</v>
      </c>
      <c r="W353" s="39">
        <v>0</v>
      </c>
      <c r="X353" s="39">
        <f t="shared" si="102"/>
        <v>0</v>
      </c>
      <c r="Y353" s="39">
        <v>0</v>
      </c>
      <c r="Z353" s="40">
        <f t="shared" si="103"/>
        <v>0</v>
      </c>
      <c r="AA353" s="904"/>
      <c r="AB353" s="904"/>
      <c r="AC353" s="904"/>
      <c r="AD353" s="904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</row>
    <row r="354" spans="1:87" s="268" customFormat="1" ht="81" customHeight="1">
      <c r="A354" s="499" t="s">
        <v>177</v>
      </c>
      <c r="B354" s="977"/>
      <c r="C354" s="977"/>
      <c r="D354" s="977"/>
      <c r="E354" s="977"/>
      <c r="F354" s="977"/>
      <c r="G354" s="977"/>
      <c r="H354" s="977"/>
      <c r="I354" s="1067"/>
      <c r="J354" s="500">
        <v>297968.96000000002</v>
      </c>
      <c r="K354" s="501">
        <v>309360</v>
      </c>
      <c r="L354" s="501"/>
      <c r="M354" s="502"/>
      <c r="N354" s="505" t="s">
        <v>469</v>
      </c>
      <c r="O354" s="79">
        <v>816</v>
      </c>
      <c r="P354" s="79">
        <f>Q354/O354</f>
        <v>361.3235294117647</v>
      </c>
      <c r="Q354" s="79">
        <v>294840</v>
      </c>
      <c r="R354" s="136">
        <v>294840</v>
      </c>
      <c r="S354" s="79">
        <v>294840</v>
      </c>
      <c r="T354" s="79">
        <v>294840</v>
      </c>
      <c r="U354" s="39">
        <v>260808.34</v>
      </c>
      <c r="V354" s="39">
        <f t="shared" si="101"/>
        <v>260808.34</v>
      </c>
      <c r="W354" s="39">
        <v>0</v>
      </c>
      <c r="X354" s="39">
        <f t="shared" si="102"/>
        <v>0</v>
      </c>
      <c r="Y354" s="39">
        <v>0</v>
      </c>
      <c r="Z354" s="40">
        <f t="shared" si="103"/>
        <v>0</v>
      </c>
      <c r="AA354" s="904"/>
      <c r="AB354" s="904"/>
      <c r="AC354" s="904"/>
      <c r="AD354" s="904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</row>
    <row r="355" spans="1:87" s="268" customFormat="1" ht="87.75" customHeight="1">
      <c r="A355" s="514" t="s">
        <v>470</v>
      </c>
      <c r="B355" s="977"/>
      <c r="C355" s="977"/>
      <c r="D355" s="977"/>
      <c r="E355" s="977"/>
      <c r="F355" s="977"/>
      <c r="G355" s="977"/>
      <c r="H355" s="977"/>
      <c r="I355" s="1067"/>
      <c r="J355" s="500">
        <v>785953</v>
      </c>
      <c r="K355" s="501">
        <v>847740</v>
      </c>
      <c r="L355" s="501"/>
      <c r="M355" s="510"/>
      <c r="N355" s="505" t="s">
        <v>469</v>
      </c>
      <c r="O355" s="79">
        <v>2257</v>
      </c>
      <c r="P355" s="79">
        <v>367.66725700000001</v>
      </c>
      <c r="Q355" s="79">
        <f>O355*P355</f>
        <v>829824.99904899998</v>
      </c>
      <c r="R355" s="136">
        <v>829825</v>
      </c>
      <c r="S355" s="79">
        <v>829825</v>
      </c>
      <c r="T355" s="79">
        <v>829825</v>
      </c>
      <c r="U355" s="39">
        <v>683216</v>
      </c>
      <c r="V355" s="39">
        <f t="shared" si="101"/>
        <v>683216</v>
      </c>
      <c r="W355" s="39">
        <v>0</v>
      </c>
      <c r="X355" s="39">
        <f t="shared" si="102"/>
        <v>0</v>
      </c>
      <c r="Y355" s="39">
        <v>0</v>
      </c>
      <c r="Z355" s="40">
        <f t="shared" si="103"/>
        <v>0</v>
      </c>
      <c r="AA355" s="904"/>
      <c r="AB355" s="904"/>
      <c r="AC355" s="904"/>
      <c r="AD355" s="904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</row>
    <row r="356" spans="1:87" s="268" customFormat="1" ht="73.5" customHeight="1">
      <c r="A356" s="499" t="s">
        <v>193</v>
      </c>
      <c r="B356" s="977"/>
      <c r="C356" s="977"/>
      <c r="D356" s="977"/>
      <c r="E356" s="977"/>
      <c r="F356" s="977"/>
      <c r="G356" s="977"/>
      <c r="H356" s="977"/>
      <c r="I356" s="1067"/>
      <c r="J356" s="500">
        <v>111591.1</v>
      </c>
      <c r="K356" s="444">
        <v>138733.155</v>
      </c>
      <c r="L356" s="443"/>
      <c r="M356" s="508"/>
      <c r="N356" s="135" t="s">
        <v>469</v>
      </c>
      <c r="O356" s="79">
        <v>420</v>
      </c>
      <c r="P356" s="79">
        <v>406.37</v>
      </c>
      <c r="Q356" s="79">
        <v>170675</v>
      </c>
      <c r="R356" s="136">
        <v>170675</v>
      </c>
      <c r="S356" s="79">
        <v>170675</v>
      </c>
      <c r="T356" s="79">
        <v>170675</v>
      </c>
      <c r="U356" s="39">
        <v>143704</v>
      </c>
      <c r="V356" s="39">
        <f t="shared" si="101"/>
        <v>143704</v>
      </c>
      <c r="W356" s="39">
        <v>0</v>
      </c>
      <c r="X356" s="39">
        <f t="shared" si="102"/>
        <v>0</v>
      </c>
      <c r="Y356" s="39">
        <v>0</v>
      </c>
      <c r="Z356" s="40">
        <f t="shared" si="103"/>
        <v>0</v>
      </c>
      <c r="AA356" s="904"/>
      <c r="AB356" s="904"/>
      <c r="AC356" s="904"/>
      <c r="AD356" s="904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</row>
    <row r="357" spans="1:87" s="268" customFormat="1" ht="81" customHeight="1">
      <c r="A357" s="499" t="s">
        <v>178</v>
      </c>
      <c r="B357" s="977"/>
      <c r="C357" s="977"/>
      <c r="D357" s="977"/>
      <c r="E357" s="977"/>
      <c r="F357" s="977"/>
      <c r="G357" s="977"/>
      <c r="H357" s="977"/>
      <c r="I357" s="1067"/>
      <c r="J357" s="500">
        <v>189563</v>
      </c>
      <c r="K357" s="501">
        <v>221190</v>
      </c>
      <c r="L357" s="501"/>
      <c r="M357" s="502"/>
      <c r="N357" s="135" t="s">
        <v>469</v>
      </c>
      <c r="O357" s="79">
        <v>632</v>
      </c>
      <c r="P357" s="79">
        <v>370.5</v>
      </c>
      <c r="Q357" s="79">
        <v>234150</v>
      </c>
      <c r="R357" s="136">
        <v>234150</v>
      </c>
      <c r="S357" s="79">
        <v>234150</v>
      </c>
      <c r="T357" s="79">
        <v>234150</v>
      </c>
      <c r="U357" s="39">
        <v>187200</v>
      </c>
      <c r="V357" s="39">
        <f t="shared" si="101"/>
        <v>187200</v>
      </c>
      <c r="W357" s="39">
        <v>0</v>
      </c>
      <c r="X357" s="39">
        <f t="shared" si="102"/>
        <v>0</v>
      </c>
      <c r="Y357" s="39">
        <v>0</v>
      </c>
      <c r="Z357" s="40">
        <f t="shared" si="103"/>
        <v>0</v>
      </c>
      <c r="AA357" s="904"/>
      <c r="AB357" s="904"/>
      <c r="AC357" s="904"/>
      <c r="AD357" s="904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</row>
    <row r="358" spans="1:87" s="268" customFormat="1" ht="96" customHeight="1">
      <c r="A358" s="499" t="s">
        <v>132</v>
      </c>
      <c r="B358" s="977"/>
      <c r="C358" s="977"/>
      <c r="D358" s="977"/>
      <c r="E358" s="977"/>
      <c r="F358" s="977"/>
      <c r="G358" s="977"/>
      <c r="H358" s="977"/>
      <c r="I358" s="1067"/>
      <c r="J358" s="500"/>
      <c r="K358" s="501">
        <v>2172205.7999999998</v>
      </c>
      <c r="L358" s="501"/>
      <c r="M358" s="515"/>
      <c r="N358" s="135"/>
      <c r="O358" s="79"/>
      <c r="P358" s="79"/>
      <c r="Q358" s="79"/>
      <c r="R358" s="136"/>
      <c r="S358" s="79"/>
      <c r="T358" s="79"/>
      <c r="U358" s="39">
        <v>0</v>
      </c>
      <c r="V358" s="39">
        <f t="shared" si="101"/>
        <v>0</v>
      </c>
      <c r="W358" s="39">
        <v>2559600</v>
      </c>
      <c r="X358" s="39">
        <v>2559600</v>
      </c>
      <c r="Y358" s="39">
        <v>2020000</v>
      </c>
      <c r="Z358" s="40">
        <f t="shared" si="103"/>
        <v>2020000</v>
      </c>
      <c r="AA358" s="904"/>
      <c r="AB358" s="904"/>
      <c r="AC358" s="904"/>
      <c r="AD358" s="904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</row>
    <row r="359" spans="1:87" s="268" customFormat="1" ht="212.25" customHeight="1">
      <c r="A359" s="516" t="s">
        <v>471</v>
      </c>
      <c r="B359" s="437" t="s">
        <v>22</v>
      </c>
      <c r="C359" s="437" t="s">
        <v>410</v>
      </c>
      <c r="D359" s="437" t="s">
        <v>472</v>
      </c>
      <c r="E359" s="437" t="s">
        <v>25</v>
      </c>
      <c r="F359" s="437"/>
      <c r="G359" s="437" t="s">
        <v>473</v>
      </c>
      <c r="H359" s="437" t="s">
        <v>28</v>
      </c>
      <c r="I359" s="190" t="s">
        <v>455</v>
      </c>
      <c r="J359" s="517"/>
      <c r="K359" s="472"/>
      <c r="L359" s="472"/>
      <c r="M359" s="518"/>
      <c r="N359" s="519"/>
      <c r="O359" s="520"/>
      <c r="P359" s="520"/>
      <c r="Q359" s="520"/>
      <c r="R359" s="521"/>
      <c r="S359" s="520"/>
      <c r="T359" s="520"/>
      <c r="U359" s="143">
        <f t="shared" ref="U359:Z359" si="104">SUM(U360:U369)</f>
        <v>500000</v>
      </c>
      <c r="V359" s="143">
        <f t="shared" si="104"/>
        <v>500000</v>
      </c>
      <c r="W359" s="143">
        <f t="shared" si="104"/>
        <v>0</v>
      </c>
      <c r="X359" s="143">
        <f t="shared" si="104"/>
        <v>0</v>
      </c>
      <c r="Y359" s="143">
        <f t="shared" si="104"/>
        <v>0</v>
      </c>
      <c r="Z359" s="143">
        <f t="shared" si="104"/>
        <v>0</v>
      </c>
      <c r="AA359" s="904"/>
      <c r="AB359" s="904"/>
      <c r="AC359" s="904"/>
      <c r="AD359" s="904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</row>
    <row r="360" spans="1:87" s="268" customFormat="1" ht="30" customHeight="1">
      <c r="A360" s="1068" t="s">
        <v>187</v>
      </c>
      <c r="B360" s="1071"/>
      <c r="C360" s="1072"/>
      <c r="D360" s="1072"/>
      <c r="E360" s="1072"/>
      <c r="F360" s="1072"/>
      <c r="G360" s="1072"/>
      <c r="H360" s="1073"/>
      <c r="I360" s="1059" t="s">
        <v>474</v>
      </c>
      <c r="J360" s="500"/>
      <c r="K360" s="501"/>
      <c r="L360" s="501"/>
      <c r="M360" s="509" t="s">
        <v>475</v>
      </c>
      <c r="N360" s="135"/>
      <c r="O360" s="79"/>
      <c r="P360" s="79"/>
      <c r="Q360" s="79"/>
      <c r="R360" s="136"/>
      <c r="S360" s="79"/>
      <c r="T360" s="79"/>
      <c r="U360" s="121">
        <v>6447.76</v>
      </c>
      <c r="V360" s="39">
        <f>U360</f>
        <v>6447.76</v>
      </c>
      <c r="W360" s="39">
        <v>0</v>
      </c>
      <c r="X360" s="39">
        <v>0</v>
      </c>
      <c r="Y360" s="39">
        <v>0</v>
      </c>
      <c r="Z360" s="40">
        <v>0</v>
      </c>
      <c r="AA360" s="904"/>
      <c r="AB360" s="904"/>
      <c r="AC360" s="904"/>
      <c r="AD360" s="904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</row>
    <row r="361" spans="1:87" s="268" customFormat="1" ht="53.25" customHeight="1">
      <c r="A361" s="1069"/>
      <c r="B361" s="1074"/>
      <c r="C361" s="1075"/>
      <c r="D361" s="1075"/>
      <c r="E361" s="1075"/>
      <c r="F361" s="1075"/>
      <c r="G361" s="1075"/>
      <c r="H361" s="1076"/>
      <c r="I361" s="1080"/>
      <c r="J361" s="500"/>
      <c r="K361" s="501"/>
      <c r="L361" s="501"/>
      <c r="M361" s="509" t="s">
        <v>476</v>
      </c>
      <c r="N361" s="135"/>
      <c r="O361" s="79"/>
      <c r="P361" s="79"/>
      <c r="Q361" s="79"/>
      <c r="R361" s="136"/>
      <c r="S361" s="79"/>
      <c r="T361" s="79"/>
      <c r="U361" s="121">
        <v>63970.14</v>
      </c>
      <c r="V361" s="39">
        <f t="shared" ref="V361:V369" si="105">U361</f>
        <v>63970.14</v>
      </c>
      <c r="W361" s="39">
        <v>0</v>
      </c>
      <c r="X361" s="39">
        <v>0</v>
      </c>
      <c r="Y361" s="39">
        <v>0</v>
      </c>
      <c r="Z361" s="40">
        <v>0</v>
      </c>
      <c r="AA361" s="904"/>
      <c r="AB361" s="904"/>
      <c r="AC361" s="904"/>
      <c r="AD361" s="904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</row>
    <row r="362" spans="1:87" s="268" customFormat="1" ht="30" customHeight="1">
      <c r="A362" s="1069"/>
      <c r="B362" s="1074"/>
      <c r="C362" s="1075"/>
      <c r="D362" s="1075"/>
      <c r="E362" s="1075"/>
      <c r="F362" s="1075"/>
      <c r="G362" s="1075"/>
      <c r="H362" s="1076"/>
      <c r="I362" s="1080"/>
      <c r="J362" s="500"/>
      <c r="K362" s="501"/>
      <c r="L362" s="501"/>
      <c r="M362" s="509" t="s">
        <v>477</v>
      </c>
      <c r="N362" s="135"/>
      <c r="O362" s="79"/>
      <c r="P362" s="79"/>
      <c r="Q362" s="79"/>
      <c r="R362" s="136"/>
      <c r="S362" s="79"/>
      <c r="T362" s="79"/>
      <c r="U362" s="121">
        <v>26814.240000000002</v>
      </c>
      <c r="V362" s="39">
        <f t="shared" si="105"/>
        <v>26814.240000000002</v>
      </c>
      <c r="W362" s="39">
        <v>0</v>
      </c>
      <c r="X362" s="39">
        <v>0</v>
      </c>
      <c r="Y362" s="39">
        <v>0</v>
      </c>
      <c r="Z362" s="40">
        <v>0</v>
      </c>
      <c r="AA362" s="904"/>
      <c r="AB362" s="904"/>
      <c r="AC362" s="904"/>
      <c r="AD362" s="904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</row>
    <row r="363" spans="1:87" s="268" customFormat="1" ht="45.75" customHeight="1">
      <c r="A363" s="1069"/>
      <c r="B363" s="1074"/>
      <c r="C363" s="1075"/>
      <c r="D363" s="1075"/>
      <c r="E363" s="1075"/>
      <c r="F363" s="1075"/>
      <c r="G363" s="1075"/>
      <c r="H363" s="1076"/>
      <c r="I363" s="1080"/>
      <c r="J363" s="500"/>
      <c r="K363" s="501"/>
      <c r="L363" s="501"/>
      <c r="M363" s="509" t="s">
        <v>478</v>
      </c>
      <c r="N363" s="135"/>
      <c r="O363" s="79"/>
      <c r="P363" s="79"/>
      <c r="Q363" s="79"/>
      <c r="R363" s="136"/>
      <c r="S363" s="79"/>
      <c r="T363" s="79"/>
      <c r="U363" s="121">
        <v>29941.62</v>
      </c>
      <c r="V363" s="39">
        <f t="shared" si="105"/>
        <v>29941.62</v>
      </c>
      <c r="W363" s="39">
        <v>0</v>
      </c>
      <c r="X363" s="39">
        <v>0</v>
      </c>
      <c r="Y363" s="39">
        <v>0</v>
      </c>
      <c r="Z363" s="40">
        <v>0</v>
      </c>
      <c r="AA363" s="904"/>
      <c r="AB363" s="904"/>
      <c r="AC363" s="904"/>
      <c r="AD363" s="904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</row>
    <row r="364" spans="1:87" s="268" customFormat="1" ht="30" customHeight="1">
      <c r="A364" s="1069"/>
      <c r="B364" s="1074"/>
      <c r="C364" s="1075"/>
      <c r="D364" s="1075"/>
      <c r="E364" s="1075"/>
      <c r="F364" s="1075"/>
      <c r="G364" s="1075"/>
      <c r="H364" s="1076"/>
      <c r="I364" s="1080"/>
      <c r="J364" s="500"/>
      <c r="K364" s="501"/>
      <c r="L364" s="501"/>
      <c r="M364" s="509" t="s">
        <v>479</v>
      </c>
      <c r="N364" s="135"/>
      <c r="O364" s="79"/>
      <c r="P364" s="79"/>
      <c r="Q364" s="79"/>
      <c r="R364" s="136"/>
      <c r="S364" s="79"/>
      <c r="T364" s="79"/>
      <c r="U364" s="121">
        <v>67698.679999999993</v>
      </c>
      <c r="V364" s="39">
        <f t="shared" si="105"/>
        <v>67698.679999999993</v>
      </c>
      <c r="W364" s="39">
        <v>0</v>
      </c>
      <c r="X364" s="39">
        <v>0</v>
      </c>
      <c r="Y364" s="39">
        <v>0</v>
      </c>
      <c r="Z364" s="40">
        <v>0</v>
      </c>
      <c r="AA364" s="904"/>
      <c r="AB364" s="904"/>
      <c r="AC364" s="904"/>
      <c r="AD364" s="904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</row>
    <row r="365" spans="1:87" s="268" customFormat="1" ht="30" customHeight="1">
      <c r="A365" s="1069"/>
      <c r="B365" s="1074"/>
      <c r="C365" s="1075"/>
      <c r="D365" s="1075"/>
      <c r="E365" s="1075"/>
      <c r="F365" s="1075"/>
      <c r="G365" s="1075"/>
      <c r="H365" s="1076"/>
      <c r="I365" s="1080"/>
      <c r="J365" s="500"/>
      <c r="K365" s="501"/>
      <c r="L365" s="501"/>
      <c r="M365" s="509" t="s">
        <v>480</v>
      </c>
      <c r="N365" s="135"/>
      <c r="O365" s="79"/>
      <c r="P365" s="79"/>
      <c r="Q365" s="79"/>
      <c r="R365" s="136"/>
      <c r="S365" s="79"/>
      <c r="T365" s="79"/>
      <c r="U365" s="121">
        <v>13574.64</v>
      </c>
      <c r="V365" s="39">
        <f t="shared" si="105"/>
        <v>13574.64</v>
      </c>
      <c r="W365" s="39">
        <v>0</v>
      </c>
      <c r="X365" s="39">
        <v>0</v>
      </c>
      <c r="Y365" s="39">
        <v>0</v>
      </c>
      <c r="Z365" s="40">
        <v>0</v>
      </c>
      <c r="AA365" s="904"/>
      <c r="AB365" s="904"/>
      <c r="AC365" s="904"/>
      <c r="AD365" s="904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</row>
    <row r="366" spans="1:87" s="268" customFormat="1" ht="30" customHeight="1">
      <c r="A366" s="1069"/>
      <c r="B366" s="1074"/>
      <c r="C366" s="1075"/>
      <c r="D366" s="1075"/>
      <c r="E366" s="1075"/>
      <c r="F366" s="1075"/>
      <c r="G366" s="1075"/>
      <c r="H366" s="1076"/>
      <c r="I366" s="1080"/>
      <c r="J366" s="500"/>
      <c r="K366" s="501"/>
      <c r="L366" s="501"/>
      <c r="M366" s="509" t="s">
        <v>481</v>
      </c>
      <c r="N366" s="135"/>
      <c r="O366" s="79"/>
      <c r="P366" s="79"/>
      <c r="Q366" s="79"/>
      <c r="R366" s="136"/>
      <c r="S366" s="79"/>
      <c r="T366" s="79"/>
      <c r="U366" s="121">
        <v>7529.9</v>
      </c>
      <c r="V366" s="39">
        <f t="shared" si="105"/>
        <v>7529.9</v>
      </c>
      <c r="W366" s="39">
        <v>0</v>
      </c>
      <c r="X366" s="39">
        <v>0</v>
      </c>
      <c r="Y366" s="39">
        <v>0</v>
      </c>
      <c r="Z366" s="40">
        <v>0</v>
      </c>
      <c r="AA366" s="904"/>
      <c r="AB366" s="904"/>
      <c r="AC366" s="904"/>
      <c r="AD366" s="904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</row>
    <row r="367" spans="1:87" s="268" customFormat="1" ht="30" customHeight="1">
      <c r="A367" s="1069"/>
      <c r="B367" s="1074"/>
      <c r="C367" s="1075"/>
      <c r="D367" s="1075"/>
      <c r="E367" s="1075"/>
      <c r="F367" s="1075"/>
      <c r="G367" s="1075"/>
      <c r="H367" s="1076"/>
      <c r="I367" s="1080"/>
      <c r="J367" s="500"/>
      <c r="K367" s="501"/>
      <c r="L367" s="501"/>
      <c r="M367" s="509" t="s">
        <v>482</v>
      </c>
      <c r="N367" s="135"/>
      <c r="O367" s="79"/>
      <c r="P367" s="79"/>
      <c r="Q367" s="79"/>
      <c r="R367" s="136"/>
      <c r="S367" s="79"/>
      <c r="T367" s="79"/>
      <c r="U367" s="121">
        <v>44802.54</v>
      </c>
      <c r="V367" s="39">
        <f t="shared" si="105"/>
        <v>44802.54</v>
      </c>
      <c r="W367" s="39">
        <v>0</v>
      </c>
      <c r="X367" s="39">
        <v>0</v>
      </c>
      <c r="Y367" s="39">
        <v>0</v>
      </c>
      <c r="Z367" s="40">
        <v>0</v>
      </c>
      <c r="AA367" s="904"/>
      <c r="AB367" s="904"/>
      <c r="AC367" s="904"/>
      <c r="AD367" s="904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</row>
    <row r="368" spans="1:87" s="268" customFormat="1" ht="30" customHeight="1">
      <c r="A368" s="1069"/>
      <c r="B368" s="1074"/>
      <c r="C368" s="1075"/>
      <c r="D368" s="1075"/>
      <c r="E368" s="1075"/>
      <c r="F368" s="1075"/>
      <c r="G368" s="1075"/>
      <c r="H368" s="1076"/>
      <c r="I368" s="1080"/>
      <c r="J368" s="500"/>
      <c r="K368" s="501"/>
      <c r="L368" s="501"/>
      <c r="M368" s="509" t="s">
        <v>483</v>
      </c>
      <c r="N368" s="135"/>
      <c r="O368" s="79"/>
      <c r="P368" s="79"/>
      <c r="Q368" s="79"/>
      <c r="R368" s="136"/>
      <c r="S368" s="79"/>
      <c r="T368" s="79"/>
      <c r="U368" s="121">
        <v>35502.480000000003</v>
      </c>
      <c r="V368" s="39">
        <f t="shared" si="105"/>
        <v>35502.480000000003</v>
      </c>
      <c r="W368" s="39">
        <v>0</v>
      </c>
      <c r="X368" s="39">
        <v>0</v>
      </c>
      <c r="Y368" s="39">
        <v>0</v>
      </c>
      <c r="Z368" s="40">
        <v>0</v>
      </c>
      <c r="AA368" s="904"/>
      <c r="AB368" s="904"/>
      <c r="AC368" s="904"/>
      <c r="AD368" s="904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</row>
    <row r="369" spans="1:87" s="268" customFormat="1" ht="30" customHeight="1">
      <c r="A369" s="1070"/>
      <c r="B369" s="1077"/>
      <c r="C369" s="1078"/>
      <c r="D369" s="1078"/>
      <c r="E369" s="1078"/>
      <c r="F369" s="1078"/>
      <c r="G369" s="1078"/>
      <c r="H369" s="1079"/>
      <c r="I369" s="1060"/>
      <c r="J369" s="500"/>
      <c r="K369" s="501"/>
      <c r="L369" s="501"/>
      <c r="M369" s="509" t="s">
        <v>475</v>
      </c>
      <c r="N369" s="135"/>
      <c r="O369" s="79"/>
      <c r="P369" s="79"/>
      <c r="Q369" s="79"/>
      <c r="R369" s="136"/>
      <c r="S369" s="79"/>
      <c r="T369" s="79"/>
      <c r="U369" s="121">
        <v>203718</v>
      </c>
      <c r="V369" s="39">
        <f t="shared" si="105"/>
        <v>203718</v>
      </c>
      <c r="W369" s="39">
        <v>0</v>
      </c>
      <c r="X369" s="39">
        <v>0</v>
      </c>
      <c r="Y369" s="39">
        <v>0</v>
      </c>
      <c r="Z369" s="40">
        <v>0</v>
      </c>
      <c r="AA369" s="904"/>
      <c r="AB369" s="904"/>
      <c r="AC369" s="904"/>
      <c r="AD369" s="904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</row>
    <row r="370" spans="1:87" s="527" customFormat="1" ht="50.25" customHeight="1">
      <c r="A370" s="1053" t="s">
        <v>484</v>
      </c>
      <c r="B370" s="1054"/>
      <c r="C370" s="1054"/>
      <c r="D370" s="1054"/>
      <c r="E370" s="1054"/>
      <c r="F370" s="1054"/>
      <c r="G370" s="1054"/>
      <c r="H370" s="1054"/>
      <c r="I370" s="1054"/>
      <c r="J370" s="1054"/>
      <c r="K370" s="1054"/>
      <c r="L370" s="1054"/>
      <c r="M370" s="1055"/>
      <c r="N370" s="522"/>
      <c r="O370" s="523"/>
      <c r="P370" s="523"/>
      <c r="Q370" s="523"/>
      <c r="R370" s="524"/>
      <c r="S370" s="523"/>
      <c r="T370" s="523"/>
      <c r="U370" s="525">
        <f t="shared" ref="U370:Z370" si="106">U371</f>
        <v>2985800</v>
      </c>
      <c r="V370" s="525">
        <f t="shared" si="106"/>
        <v>2985800</v>
      </c>
      <c r="W370" s="525">
        <f t="shared" si="106"/>
        <v>0</v>
      </c>
      <c r="X370" s="525">
        <f t="shared" si="106"/>
        <v>0</v>
      </c>
      <c r="Y370" s="525">
        <f t="shared" si="106"/>
        <v>0</v>
      </c>
      <c r="Z370" s="525">
        <f t="shared" si="106"/>
        <v>0</v>
      </c>
      <c r="AA370" s="910"/>
      <c r="AB370" s="910"/>
      <c r="AC370" s="910"/>
      <c r="AD370" s="910"/>
      <c r="AE370" s="526"/>
      <c r="AF370" s="526"/>
      <c r="AG370" s="526"/>
      <c r="AH370" s="526"/>
      <c r="AI370" s="526"/>
      <c r="AJ370" s="526"/>
      <c r="AK370" s="526"/>
      <c r="AL370" s="526"/>
      <c r="AM370" s="526"/>
      <c r="AN370" s="526"/>
      <c r="AO370" s="526"/>
      <c r="AP370" s="526"/>
      <c r="AQ370" s="526"/>
      <c r="AR370" s="526"/>
      <c r="AS370" s="526"/>
      <c r="AT370" s="526"/>
      <c r="AU370" s="526"/>
      <c r="AV370" s="526"/>
      <c r="AW370" s="526"/>
      <c r="AX370" s="526"/>
      <c r="AY370" s="526"/>
      <c r="AZ370" s="526"/>
      <c r="BA370" s="526"/>
      <c r="BB370" s="526"/>
      <c r="BC370" s="526"/>
      <c r="BD370" s="526"/>
      <c r="BE370" s="526"/>
      <c r="BF370" s="526"/>
      <c r="BG370" s="526"/>
      <c r="BH370" s="526"/>
      <c r="BI370" s="526"/>
      <c r="BJ370" s="526"/>
      <c r="BK370" s="526"/>
      <c r="BL370" s="526"/>
      <c r="BM370" s="526"/>
      <c r="BN370" s="526"/>
      <c r="BO370" s="526"/>
      <c r="BP370" s="526"/>
      <c r="BQ370" s="526"/>
      <c r="BR370" s="526"/>
      <c r="BS370" s="526"/>
      <c r="BT370" s="526"/>
      <c r="BU370" s="526"/>
      <c r="BV370" s="526"/>
      <c r="BW370" s="526"/>
      <c r="BX370" s="526"/>
      <c r="BY370" s="526"/>
      <c r="BZ370" s="526"/>
      <c r="CA370" s="526"/>
      <c r="CB370" s="526"/>
      <c r="CC370" s="526"/>
      <c r="CD370" s="526"/>
      <c r="CE370" s="526"/>
      <c r="CF370" s="526"/>
      <c r="CG370" s="526"/>
      <c r="CH370" s="526"/>
      <c r="CI370" s="526"/>
    </row>
    <row r="371" spans="1:87" s="527" customFormat="1" ht="409.5" customHeight="1">
      <c r="A371" s="1056" t="s">
        <v>485</v>
      </c>
      <c r="B371" s="1058" t="s">
        <v>22</v>
      </c>
      <c r="C371" s="1058" t="s">
        <v>146</v>
      </c>
      <c r="D371" s="1058" t="s">
        <v>486</v>
      </c>
      <c r="E371" s="1058" t="s">
        <v>25</v>
      </c>
      <c r="F371" s="437"/>
      <c r="G371" s="1058" t="s">
        <v>487</v>
      </c>
      <c r="H371" s="1058" t="s">
        <v>28</v>
      </c>
      <c r="I371" s="528" t="s">
        <v>488</v>
      </c>
      <c r="J371" s="517"/>
      <c r="K371" s="472"/>
      <c r="L371" s="472"/>
      <c r="M371" s="529"/>
      <c r="N371" s="519"/>
      <c r="O371" s="520"/>
      <c r="P371" s="520"/>
      <c r="Q371" s="520"/>
      <c r="R371" s="521"/>
      <c r="S371" s="520"/>
      <c r="T371" s="520"/>
      <c r="U371" s="143">
        <f t="shared" ref="U371:Z371" si="107">U373</f>
        <v>2985800</v>
      </c>
      <c r="V371" s="143">
        <f t="shared" si="107"/>
        <v>2985800</v>
      </c>
      <c r="W371" s="143">
        <f t="shared" si="107"/>
        <v>0</v>
      </c>
      <c r="X371" s="143">
        <f t="shared" si="107"/>
        <v>0</v>
      </c>
      <c r="Y371" s="143">
        <f t="shared" si="107"/>
        <v>0</v>
      </c>
      <c r="Z371" s="143">
        <f t="shared" si="107"/>
        <v>0</v>
      </c>
      <c r="AA371" s="910"/>
      <c r="AB371" s="910"/>
      <c r="AC371" s="910"/>
      <c r="AD371" s="910"/>
      <c r="AE371" s="526"/>
      <c r="AF371" s="526"/>
      <c r="AG371" s="526"/>
      <c r="AH371" s="526"/>
      <c r="AI371" s="526"/>
      <c r="AJ371" s="526"/>
      <c r="AK371" s="526"/>
      <c r="AL371" s="526"/>
      <c r="AM371" s="526"/>
      <c r="AN371" s="526"/>
      <c r="AO371" s="526"/>
      <c r="AP371" s="526"/>
      <c r="AQ371" s="526"/>
      <c r="AR371" s="526"/>
      <c r="AS371" s="526"/>
      <c r="AT371" s="526"/>
      <c r="AU371" s="526"/>
      <c r="AV371" s="526"/>
      <c r="AW371" s="526"/>
      <c r="AX371" s="526"/>
      <c r="AY371" s="526"/>
      <c r="AZ371" s="526"/>
      <c r="BA371" s="526"/>
      <c r="BB371" s="526"/>
      <c r="BC371" s="526"/>
      <c r="BD371" s="526"/>
      <c r="BE371" s="526"/>
      <c r="BF371" s="526"/>
      <c r="BG371" s="526"/>
      <c r="BH371" s="526"/>
      <c r="BI371" s="526"/>
      <c r="BJ371" s="526"/>
      <c r="BK371" s="526"/>
      <c r="BL371" s="526"/>
      <c r="BM371" s="526"/>
      <c r="BN371" s="526"/>
      <c r="BO371" s="526"/>
      <c r="BP371" s="526"/>
      <c r="BQ371" s="526"/>
      <c r="BR371" s="526"/>
      <c r="BS371" s="526"/>
      <c r="BT371" s="526"/>
      <c r="BU371" s="526"/>
      <c r="BV371" s="526"/>
      <c r="BW371" s="526"/>
      <c r="BX371" s="526"/>
      <c r="BY371" s="526"/>
      <c r="BZ371" s="526"/>
      <c r="CA371" s="526"/>
      <c r="CB371" s="526"/>
      <c r="CC371" s="526"/>
      <c r="CD371" s="526"/>
      <c r="CE371" s="526"/>
      <c r="CF371" s="526"/>
      <c r="CG371" s="526"/>
      <c r="CH371" s="526"/>
      <c r="CI371" s="526"/>
    </row>
    <row r="372" spans="1:87" s="527" customFormat="1" ht="126" customHeight="1">
      <c r="A372" s="1057"/>
      <c r="B372" s="1058"/>
      <c r="C372" s="1058"/>
      <c r="D372" s="1058"/>
      <c r="E372" s="1058"/>
      <c r="F372" s="437"/>
      <c r="G372" s="1058"/>
      <c r="H372" s="1058"/>
      <c r="I372" s="528"/>
      <c r="J372" s="517"/>
      <c r="K372" s="472"/>
      <c r="L372" s="472"/>
      <c r="M372" s="529"/>
      <c r="N372" s="519"/>
      <c r="O372" s="520"/>
      <c r="P372" s="520"/>
      <c r="Q372" s="520"/>
      <c r="R372" s="521"/>
      <c r="S372" s="520"/>
      <c r="T372" s="520"/>
      <c r="U372" s="143"/>
      <c r="V372" s="143"/>
      <c r="W372" s="143"/>
      <c r="X372" s="143"/>
      <c r="Y372" s="143"/>
      <c r="Z372" s="143"/>
      <c r="AA372" s="910"/>
      <c r="AB372" s="910"/>
      <c r="AC372" s="910"/>
      <c r="AD372" s="910"/>
      <c r="AE372" s="526"/>
      <c r="AF372" s="526"/>
      <c r="AG372" s="526"/>
      <c r="AH372" s="526"/>
      <c r="AI372" s="526"/>
      <c r="AJ372" s="526"/>
      <c r="AK372" s="526"/>
      <c r="AL372" s="526"/>
      <c r="AM372" s="526"/>
      <c r="AN372" s="526"/>
      <c r="AO372" s="526"/>
      <c r="AP372" s="526"/>
      <c r="AQ372" s="526"/>
      <c r="AR372" s="526"/>
      <c r="AS372" s="526"/>
      <c r="AT372" s="526"/>
      <c r="AU372" s="526"/>
      <c r="AV372" s="526"/>
      <c r="AW372" s="526"/>
      <c r="AX372" s="526"/>
      <c r="AY372" s="526"/>
      <c r="AZ372" s="526"/>
      <c r="BA372" s="526"/>
      <c r="BB372" s="526"/>
      <c r="BC372" s="526"/>
      <c r="BD372" s="526"/>
      <c r="BE372" s="526"/>
      <c r="BF372" s="526"/>
      <c r="BG372" s="526"/>
      <c r="BH372" s="526"/>
      <c r="BI372" s="526"/>
      <c r="BJ372" s="526"/>
      <c r="BK372" s="526"/>
      <c r="BL372" s="526"/>
      <c r="BM372" s="526"/>
      <c r="BN372" s="526"/>
      <c r="BO372" s="526"/>
      <c r="BP372" s="526"/>
      <c r="BQ372" s="526"/>
      <c r="BR372" s="526"/>
      <c r="BS372" s="526"/>
      <c r="BT372" s="526"/>
      <c r="BU372" s="526"/>
      <c r="BV372" s="526"/>
      <c r="BW372" s="526"/>
      <c r="BX372" s="526"/>
      <c r="BY372" s="526"/>
      <c r="BZ372" s="526"/>
      <c r="CA372" s="526"/>
      <c r="CB372" s="526"/>
      <c r="CC372" s="526"/>
      <c r="CD372" s="526"/>
      <c r="CE372" s="526"/>
      <c r="CF372" s="526"/>
      <c r="CG372" s="526"/>
      <c r="CH372" s="526"/>
      <c r="CI372" s="526"/>
    </row>
    <row r="373" spans="1:87" s="268" customFormat="1" ht="78" customHeight="1">
      <c r="A373" s="530" t="s">
        <v>132</v>
      </c>
      <c r="B373" s="531"/>
      <c r="C373" s="532"/>
      <c r="D373" s="532"/>
      <c r="E373" s="532"/>
      <c r="F373" s="532"/>
      <c r="G373" s="532"/>
      <c r="H373" s="533"/>
      <c r="I373" s="534"/>
      <c r="J373" s="500"/>
      <c r="K373" s="501"/>
      <c r="L373" s="501"/>
      <c r="M373" s="509"/>
      <c r="N373" s="135"/>
      <c r="O373" s="79"/>
      <c r="P373" s="79"/>
      <c r="Q373" s="79"/>
      <c r="R373" s="136"/>
      <c r="S373" s="79"/>
      <c r="T373" s="79"/>
      <c r="U373" s="39">
        <v>2985800</v>
      </c>
      <c r="V373" s="39">
        <v>2985800</v>
      </c>
      <c r="W373" s="39">
        <v>0</v>
      </c>
      <c r="X373" s="39">
        <v>0</v>
      </c>
      <c r="Y373" s="39">
        <v>0</v>
      </c>
      <c r="Z373" s="40">
        <v>0</v>
      </c>
      <c r="AA373" s="904"/>
      <c r="AB373" s="904"/>
      <c r="AC373" s="904"/>
      <c r="AD373" s="904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</row>
    <row r="374" spans="1:87" s="268" customFormat="1" ht="63.75" customHeight="1">
      <c r="A374" s="932" t="s">
        <v>489</v>
      </c>
      <c r="B374" s="932"/>
      <c r="C374" s="932"/>
      <c r="D374" s="932"/>
      <c r="E374" s="932"/>
      <c r="F374" s="932"/>
      <c r="G374" s="932"/>
      <c r="H374" s="932"/>
      <c r="I374" s="932"/>
      <c r="J374" s="932"/>
      <c r="K374" s="932"/>
      <c r="L374" s="932"/>
      <c r="M374" s="932"/>
      <c r="N374" s="535"/>
      <c r="O374" s="536"/>
      <c r="P374" s="536"/>
      <c r="Q374" s="537" t="e">
        <f>Q375</f>
        <v>#REF!</v>
      </c>
      <c r="R374" s="537" t="e">
        <f>R375</f>
        <v>#REF!</v>
      </c>
      <c r="S374" s="537" t="e">
        <f>S375</f>
        <v>#REF!</v>
      </c>
      <c r="T374" s="537" t="e">
        <f>T375</f>
        <v>#REF!</v>
      </c>
      <c r="U374" s="538">
        <f t="shared" ref="U374:Z374" si="108">U375+U409</f>
        <v>6445756.75</v>
      </c>
      <c r="V374" s="538">
        <f t="shared" si="108"/>
        <v>6445756.75</v>
      </c>
      <c r="W374" s="538">
        <f t="shared" si="108"/>
        <v>0</v>
      </c>
      <c r="X374" s="538">
        <f t="shared" si="108"/>
        <v>0</v>
      </c>
      <c r="Y374" s="538">
        <f t="shared" si="108"/>
        <v>0</v>
      </c>
      <c r="Z374" s="538">
        <f t="shared" si="108"/>
        <v>0</v>
      </c>
      <c r="AA374" s="904"/>
      <c r="AB374" s="904"/>
      <c r="AC374" s="904"/>
      <c r="AD374" s="904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</row>
    <row r="375" spans="1:87" s="268" customFormat="1" ht="193.5" customHeight="1">
      <c r="A375" s="21" t="s">
        <v>490</v>
      </c>
      <c r="B375" s="68" t="s">
        <v>22</v>
      </c>
      <c r="C375" s="68" t="s">
        <v>491</v>
      </c>
      <c r="D375" s="68" t="s">
        <v>492</v>
      </c>
      <c r="E375" s="68" t="s">
        <v>25</v>
      </c>
      <c r="F375" s="68" t="s">
        <v>493</v>
      </c>
      <c r="G375" s="68" t="s">
        <v>494</v>
      </c>
      <c r="H375" s="68" t="s">
        <v>28</v>
      </c>
      <c r="I375" s="21" t="s">
        <v>495</v>
      </c>
      <c r="J375" s="23">
        <v>7661349.4100000001</v>
      </c>
      <c r="K375" s="539">
        <v>6110301</v>
      </c>
      <c r="L375" s="25"/>
      <c r="M375" s="539"/>
      <c r="N375" s="539"/>
      <c r="O375" s="539"/>
      <c r="P375" s="539"/>
      <c r="Q375" s="73" t="e">
        <f t="shared" ref="Q375:Z375" si="109">Q376+Q404+Q405+Q408+AO416</f>
        <v>#REF!</v>
      </c>
      <c r="R375" s="73" t="e">
        <f t="shared" si="109"/>
        <v>#REF!</v>
      </c>
      <c r="S375" s="73" t="e">
        <f t="shared" si="109"/>
        <v>#REF!</v>
      </c>
      <c r="T375" s="73" t="e">
        <f t="shared" si="109"/>
        <v>#REF!</v>
      </c>
      <c r="U375" s="23">
        <f t="shared" si="109"/>
        <v>4545756.75</v>
      </c>
      <c r="V375" s="23">
        <f t="shared" si="109"/>
        <v>4545756.75</v>
      </c>
      <c r="W375" s="23">
        <f t="shared" si="109"/>
        <v>0</v>
      </c>
      <c r="X375" s="23">
        <f t="shared" si="109"/>
        <v>0</v>
      </c>
      <c r="Y375" s="23">
        <f t="shared" si="109"/>
        <v>0</v>
      </c>
      <c r="Z375" s="23">
        <f t="shared" si="109"/>
        <v>0</v>
      </c>
      <c r="AA375" s="904"/>
      <c r="AB375" s="904"/>
      <c r="AC375" s="904"/>
      <c r="AD375" s="904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</row>
    <row r="376" spans="1:87" s="268" customFormat="1" ht="26.25" customHeight="1">
      <c r="A376" s="1044" t="s">
        <v>496</v>
      </c>
      <c r="B376" s="1046"/>
      <c r="C376" s="1046"/>
      <c r="D376" s="1046"/>
      <c r="E376" s="1046"/>
      <c r="F376" s="1046"/>
      <c r="G376" s="1046"/>
      <c r="H376" s="1046"/>
      <c r="I376" s="1046" t="s">
        <v>497</v>
      </c>
      <c r="J376" s="540">
        <v>3172152.24</v>
      </c>
      <c r="K376" s="541">
        <v>3722394</v>
      </c>
      <c r="L376" s="542">
        <v>2110</v>
      </c>
      <c r="M376" s="543" t="s">
        <v>498</v>
      </c>
      <c r="N376" s="544" t="s">
        <v>469</v>
      </c>
      <c r="O376" s="32">
        <f>O377+O378+O379+O380+O381+O382+O383+O384+O385+O386+O387+O388+O389+O390+O391+O392+O393+O394+O395+O396+O397+O398+O399+O400+O401+O402</f>
        <v>38</v>
      </c>
      <c r="P376" s="541"/>
      <c r="Q376" s="541">
        <f>Q377+Q378+Q379+Q380+Q381+Q382+Q383+Q384+Q385+Q386+Q387+Q388+Q389+Q390+Q391+Q392+Q393+Q394+Q395+Q396+Q397+Q398+Q399+Q400+Q401+Q402</f>
        <v>3598155</v>
      </c>
      <c r="R376" s="541">
        <f>R377+R378+R379+R380+R381+R382+R383+R384+R385+R386+R387+R388+R389+R390+R391+R392+R393+R394+R395+R396+R397+R398+R399+R400+R401+R402</f>
        <v>3598155</v>
      </c>
      <c r="S376" s="541">
        <f>S377+S378+S379+S380+S381+S382+S383+S384+S385+S386+S387+S388+S389+S390+S391+S392+S393+S394+S395+S396+S397+S398+S399+S400+S401+S402</f>
        <v>3598155</v>
      </c>
      <c r="T376" s="541">
        <f>T377+T378+T379+T380+T381+T382+T383+T384+T385+T386+T387+T388+T389+T390+T391+T392+T393+T394+T395+T396+T397+T398+T399+T400+T401+T402</f>
        <v>3598155</v>
      </c>
      <c r="U376" s="40">
        <v>2322365</v>
      </c>
      <c r="V376" s="40">
        <f>U376</f>
        <v>2322365</v>
      </c>
      <c r="W376" s="40">
        <v>0</v>
      </c>
      <c r="X376" s="40">
        <v>0</v>
      </c>
      <c r="Y376" s="40">
        <v>0</v>
      </c>
      <c r="Z376" s="40">
        <v>0</v>
      </c>
      <c r="AA376" s="904"/>
      <c r="AB376" s="904"/>
      <c r="AC376" s="904"/>
      <c r="AD376" s="904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</row>
    <row r="377" spans="1:87" s="268" customFormat="1" ht="40.5" hidden="1" outlineLevel="1">
      <c r="A377" s="1045"/>
      <c r="B377" s="1046"/>
      <c r="C377" s="1046"/>
      <c r="D377" s="1046"/>
      <c r="E377" s="1046"/>
      <c r="F377" s="1046"/>
      <c r="G377" s="1046"/>
      <c r="H377" s="1046"/>
      <c r="I377" s="1046"/>
      <c r="J377" s="545"/>
      <c r="K377" s="541"/>
      <c r="L377" s="546"/>
      <c r="M377" s="360" t="s">
        <v>499</v>
      </c>
      <c r="N377" s="547"/>
      <c r="O377" s="548">
        <v>1</v>
      </c>
      <c r="P377" s="541">
        <v>29025</v>
      </c>
      <c r="Q377" s="541">
        <f t="shared" ref="Q377:Q384" si="110">P377*9</f>
        <v>261225</v>
      </c>
      <c r="R377" s="549">
        <v>261225</v>
      </c>
      <c r="S377" s="549">
        <v>261225</v>
      </c>
      <c r="T377" s="549">
        <v>261225</v>
      </c>
      <c r="U377" s="40"/>
      <c r="V377" s="40">
        <f t="shared" ref="V377:V404" si="111">U377</f>
        <v>0</v>
      </c>
      <c r="W377" s="40"/>
      <c r="X377" s="40"/>
      <c r="Y377" s="40"/>
      <c r="Z377" s="40"/>
      <c r="AA377" s="904"/>
      <c r="AB377" s="904"/>
      <c r="AC377" s="904"/>
      <c r="AD377" s="904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</row>
    <row r="378" spans="1:87" s="268" customFormat="1" ht="101.25" hidden="1" outlineLevel="1">
      <c r="A378" s="1045"/>
      <c r="B378" s="1046"/>
      <c r="C378" s="1046"/>
      <c r="D378" s="1046"/>
      <c r="E378" s="1046"/>
      <c r="F378" s="1046"/>
      <c r="G378" s="1046"/>
      <c r="H378" s="1046"/>
      <c r="I378" s="1046"/>
      <c r="J378" s="545"/>
      <c r="K378" s="541"/>
      <c r="L378" s="546"/>
      <c r="M378" s="360" t="s">
        <v>500</v>
      </c>
      <c r="N378" s="547"/>
      <c r="O378" s="548">
        <v>1</v>
      </c>
      <c r="P378" s="541">
        <v>23220</v>
      </c>
      <c r="Q378" s="541">
        <f t="shared" si="110"/>
        <v>208980</v>
      </c>
      <c r="R378" s="550">
        <v>208980</v>
      </c>
      <c r="S378" s="550">
        <v>208980</v>
      </c>
      <c r="T378" s="550">
        <v>208980</v>
      </c>
      <c r="U378" s="40"/>
      <c r="V378" s="40">
        <f t="shared" si="111"/>
        <v>0</v>
      </c>
      <c r="W378" s="40"/>
      <c r="X378" s="40"/>
      <c r="Y378" s="40"/>
      <c r="Z378" s="40"/>
      <c r="AA378" s="904"/>
      <c r="AB378" s="904"/>
      <c r="AC378" s="904"/>
      <c r="AD378" s="904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</row>
    <row r="379" spans="1:87" s="268" customFormat="1" hidden="1" outlineLevel="1">
      <c r="A379" s="1045"/>
      <c r="B379" s="1046"/>
      <c r="C379" s="1046"/>
      <c r="D379" s="1046"/>
      <c r="E379" s="1046"/>
      <c r="F379" s="1046"/>
      <c r="G379" s="1046"/>
      <c r="H379" s="1046"/>
      <c r="I379" s="1046"/>
      <c r="J379" s="545"/>
      <c r="K379" s="541"/>
      <c r="L379" s="546"/>
      <c r="M379" s="551" t="s">
        <v>501</v>
      </c>
      <c r="N379" s="547"/>
      <c r="O379" s="552">
        <v>1</v>
      </c>
      <c r="P379" s="541">
        <v>9631</v>
      </c>
      <c r="Q379" s="541">
        <v>72900</v>
      </c>
      <c r="R379" s="541">
        <v>72900</v>
      </c>
      <c r="S379" s="541">
        <v>72900</v>
      </c>
      <c r="T379" s="541">
        <v>72900</v>
      </c>
      <c r="U379" s="40"/>
      <c r="V379" s="40">
        <f t="shared" si="111"/>
        <v>0</v>
      </c>
      <c r="W379" s="40"/>
      <c r="X379" s="40"/>
      <c r="Y379" s="40"/>
      <c r="Z379" s="40"/>
      <c r="AA379" s="904"/>
      <c r="AB379" s="904"/>
      <c r="AC379" s="904"/>
      <c r="AD379" s="904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</row>
    <row r="380" spans="1:87" s="268" customFormat="1" hidden="1" outlineLevel="1">
      <c r="A380" s="1045"/>
      <c r="B380" s="1046"/>
      <c r="C380" s="1046"/>
      <c r="D380" s="1046"/>
      <c r="E380" s="1046"/>
      <c r="F380" s="1046"/>
      <c r="G380" s="1046"/>
      <c r="H380" s="1046"/>
      <c r="I380" s="1046"/>
      <c r="J380" s="545"/>
      <c r="K380" s="541"/>
      <c r="L380" s="546"/>
      <c r="M380" s="360" t="s">
        <v>502</v>
      </c>
      <c r="N380" s="547"/>
      <c r="O380" s="548">
        <v>1</v>
      </c>
      <c r="P380" s="541">
        <v>14445</v>
      </c>
      <c r="Q380" s="541">
        <f t="shared" si="110"/>
        <v>130005</v>
      </c>
      <c r="R380" s="550">
        <v>130005</v>
      </c>
      <c r="S380" s="550">
        <v>130005</v>
      </c>
      <c r="T380" s="550">
        <v>130005</v>
      </c>
      <c r="U380" s="40"/>
      <c r="V380" s="40">
        <f t="shared" si="111"/>
        <v>0</v>
      </c>
      <c r="W380" s="40"/>
      <c r="X380" s="40"/>
      <c r="Y380" s="40"/>
      <c r="Z380" s="40"/>
      <c r="AA380" s="904"/>
      <c r="AB380" s="904"/>
      <c r="AC380" s="904"/>
      <c r="AD380" s="904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</row>
    <row r="381" spans="1:87" s="268" customFormat="1" hidden="1" outlineLevel="1">
      <c r="A381" s="1045"/>
      <c r="B381" s="1046"/>
      <c r="C381" s="1046"/>
      <c r="D381" s="1046"/>
      <c r="E381" s="1046"/>
      <c r="F381" s="1046"/>
      <c r="G381" s="1046"/>
      <c r="H381" s="1046"/>
      <c r="I381" s="1046"/>
      <c r="J381" s="545"/>
      <c r="K381" s="541"/>
      <c r="L381" s="546"/>
      <c r="M381" s="360" t="s">
        <v>503</v>
      </c>
      <c r="N381" s="547"/>
      <c r="O381" s="548">
        <v>1</v>
      </c>
      <c r="P381" s="541">
        <v>23220</v>
      </c>
      <c r="Q381" s="541">
        <f t="shared" si="110"/>
        <v>208980</v>
      </c>
      <c r="R381" s="550">
        <v>208980</v>
      </c>
      <c r="S381" s="550">
        <v>208980</v>
      </c>
      <c r="T381" s="550">
        <v>208980</v>
      </c>
      <c r="U381" s="40"/>
      <c r="V381" s="40">
        <f t="shared" si="111"/>
        <v>0</v>
      </c>
      <c r="W381" s="40"/>
      <c r="X381" s="40"/>
      <c r="Y381" s="40"/>
      <c r="Z381" s="40"/>
      <c r="AA381" s="904"/>
      <c r="AB381" s="904"/>
      <c r="AC381" s="904"/>
      <c r="AD381" s="904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</row>
    <row r="382" spans="1:87" s="268" customFormat="1" ht="40.5" hidden="1" outlineLevel="1">
      <c r="A382" s="1045"/>
      <c r="B382" s="1046"/>
      <c r="C382" s="1046"/>
      <c r="D382" s="1046"/>
      <c r="E382" s="1046"/>
      <c r="F382" s="1046"/>
      <c r="G382" s="1046"/>
      <c r="H382" s="1046"/>
      <c r="I382" s="1046"/>
      <c r="J382" s="545"/>
      <c r="K382" s="541"/>
      <c r="L382" s="546"/>
      <c r="M382" s="360" t="s">
        <v>504</v>
      </c>
      <c r="N382" s="547"/>
      <c r="O382" s="548">
        <v>1</v>
      </c>
      <c r="P382" s="541">
        <v>20250</v>
      </c>
      <c r="Q382" s="541">
        <f t="shared" si="110"/>
        <v>182250</v>
      </c>
      <c r="R382" s="550">
        <v>182250</v>
      </c>
      <c r="S382" s="550">
        <v>182250</v>
      </c>
      <c r="T382" s="550">
        <v>182250</v>
      </c>
      <c r="U382" s="40"/>
      <c r="V382" s="40">
        <f t="shared" si="111"/>
        <v>0</v>
      </c>
      <c r="W382" s="40"/>
      <c r="X382" s="40"/>
      <c r="Y382" s="40"/>
      <c r="Z382" s="40"/>
      <c r="AA382" s="904"/>
      <c r="AB382" s="904"/>
      <c r="AC382" s="904"/>
      <c r="AD382" s="904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</row>
    <row r="383" spans="1:87" s="268" customFormat="1" hidden="1" outlineLevel="1">
      <c r="A383" s="1045"/>
      <c r="B383" s="1046"/>
      <c r="C383" s="1046"/>
      <c r="D383" s="1046"/>
      <c r="E383" s="1046"/>
      <c r="F383" s="1046"/>
      <c r="G383" s="1046"/>
      <c r="H383" s="1046"/>
      <c r="I383" s="1046"/>
      <c r="J383" s="545"/>
      <c r="K383" s="541"/>
      <c r="L383" s="546"/>
      <c r="M383" s="551" t="s">
        <v>505</v>
      </c>
      <c r="N383" s="547"/>
      <c r="O383" s="552">
        <v>1</v>
      </c>
      <c r="P383" s="541">
        <v>14445</v>
      </c>
      <c r="Q383" s="541">
        <f t="shared" si="110"/>
        <v>130005</v>
      </c>
      <c r="R383" s="550">
        <v>130005</v>
      </c>
      <c r="S383" s="550">
        <v>130005</v>
      </c>
      <c r="T383" s="550">
        <v>130005</v>
      </c>
      <c r="U383" s="40"/>
      <c r="V383" s="40">
        <f t="shared" si="111"/>
        <v>0</v>
      </c>
      <c r="W383" s="40"/>
      <c r="X383" s="40"/>
      <c r="Y383" s="40"/>
      <c r="Z383" s="40"/>
      <c r="AA383" s="904"/>
      <c r="AB383" s="904"/>
      <c r="AC383" s="904"/>
      <c r="AD383" s="904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</row>
    <row r="384" spans="1:87" s="268" customFormat="1" hidden="1" outlineLevel="1">
      <c r="A384" s="1045"/>
      <c r="B384" s="1046"/>
      <c r="C384" s="1046"/>
      <c r="D384" s="1046"/>
      <c r="E384" s="1046"/>
      <c r="F384" s="1046"/>
      <c r="G384" s="1046"/>
      <c r="H384" s="1046"/>
      <c r="I384" s="1046"/>
      <c r="J384" s="545"/>
      <c r="K384" s="541"/>
      <c r="L384" s="546"/>
      <c r="M384" s="551" t="s">
        <v>506</v>
      </c>
      <c r="N384" s="547"/>
      <c r="O384" s="552">
        <v>1</v>
      </c>
      <c r="P384" s="541">
        <v>14445</v>
      </c>
      <c r="Q384" s="541">
        <f t="shared" si="110"/>
        <v>130005</v>
      </c>
      <c r="R384" s="550">
        <v>130005</v>
      </c>
      <c r="S384" s="550">
        <v>130005</v>
      </c>
      <c r="T384" s="550">
        <v>130005</v>
      </c>
      <c r="U384" s="40"/>
      <c r="V384" s="40">
        <f t="shared" si="111"/>
        <v>0</v>
      </c>
      <c r="W384" s="40"/>
      <c r="X384" s="40"/>
      <c r="Y384" s="40"/>
      <c r="Z384" s="40"/>
      <c r="AA384" s="904"/>
      <c r="AB384" s="904"/>
      <c r="AC384" s="904"/>
      <c r="AD384" s="904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</row>
    <row r="385" spans="1:87" s="268" customFormat="1" ht="40.5" hidden="1" outlineLevel="1">
      <c r="A385" s="1045"/>
      <c r="B385" s="1046"/>
      <c r="C385" s="1046"/>
      <c r="D385" s="1046"/>
      <c r="E385" s="1046"/>
      <c r="F385" s="1046"/>
      <c r="G385" s="1046"/>
      <c r="H385" s="1046"/>
      <c r="I385" s="1046"/>
      <c r="J385" s="545"/>
      <c r="K385" s="541"/>
      <c r="L385" s="546"/>
      <c r="M385" s="551" t="s">
        <v>507</v>
      </c>
      <c r="N385" s="547"/>
      <c r="O385" s="552">
        <v>1</v>
      </c>
      <c r="P385" s="541">
        <v>9631</v>
      </c>
      <c r="Q385" s="541">
        <v>85050</v>
      </c>
      <c r="R385" s="541">
        <v>85050</v>
      </c>
      <c r="S385" s="541">
        <v>85050</v>
      </c>
      <c r="T385" s="541">
        <v>85050</v>
      </c>
      <c r="U385" s="40"/>
      <c r="V385" s="40">
        <f t="shared" si="111"/>
        <v>0</v>
      </c>
      <c r="W385" s="40"/>
      <c r="X385" s="40"/>
      <c r="Y385" s="40"/>
      <c r="Z385" s="40"/>
      <c r="AA385" s="904"/>
      <c r="AB385" s="904"/>
      <c r="AC385" s="904"/>
      <c r="AD385" s="904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</row>
    <row r="386" spans="1:87" s="268" customFormat="1" hidden="1" outlineLevel="1">
      <c r="A386" s="1045"/>
      <c r="B386" s="1046"/>
      <c r="C386" s="1046"/>
      <c r="D386" s="1046"/>
      <c r="E386" s="1046"/>
      <c r="F386" s="1046"/>
      <c r="G386" s="1046"/>
      <c r="H386" s="1046"/>
      <c r="I386" s="1046"/>
      <c r="J386" s="545"/>
      <c r="K386" s="541"/>
      <c r="L386" s="546"/>
      <c r="M386" s="551" t="s">
        <v>508</v>
      </c>
      <c r="N386" s="547"/>
      <c r="O386" s="552">
        <v>2</v>
      </c>
      <c r="P386" s="541">
        <v>9631</v>
      </c>
      <c r="Q386" s="541">
        <v>140400</v>
      </c>
      <c r="R386" s="541">
        <v>140400</v>
      </c>
      <c r="S386" s="541">
        <v>140400</v>
      </c>
      <c r="T386" s="541">
        <v>140400</v>
      </c>
      <c r="U386" s="40"/>
      <c r="V386" s="40">
        <f t="shared" si="111"/>
        <v>0</v>
      </c>
      <c r="W386" s="40"/>
      <c r="X386" s="40"/>
      <c r="Y386" s="40"/>
      <c r="Z386" s="40"/>
      <c r="AA386" s="904"/>
      <c r="AB386" s="904"/>
      <c r="AC386" s="904"/>
      <c r="AD386" s="904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</row>
    <row r="387" spans="1:87" s="268" customFormat="1" hidden="1" outlineLevel="1">
      <c r="A387" s="1045"/>
      <c r="B387" s="1046"/>
      <c r="C387" s="1046"/>
      <c r="D387" s="1046"/>
      <c r="E387" s="1046"/>
      <c r="F387" s="1046"/>
      <c r="G387" s="1046"/>
      <c r="H387" s="1046"/>
      <c r="I387" s="1046"/>
      <c r="J387" s="545"/>
      <c r="K387" s="541"/>
      <c r="L387" s="546"/>
      <c r="M387" s="551" t="s">
        <v>509</v>
      </c>
      <c r="N387" s="547"/>
      <c r="O387" s="552">
        <v>1</v>
      </c>
      <c r="P387" s="541">
        <v>14445</v>
      </c>
      <c r="Q387" s="541">
        <f>P387*9</f>
        <v>130005</v>
      </c>
      <c r="R387" s="550">
        <v>130005</v>
      </c>
      <c r="S387" s="550">
        <v>130005</v>
      </c>
      <c r="T387" s="550">
        <v>130005</v>
      </c>
      <c r="U387" s="40"/>
      <c r="V387" s="40">
        <f t="shared" si="111"/>
        <v>0</v>
      </c>
      <c r="W387" s="40"/>
      <c r="X387" s="40"/>
      <c r="Y387" s="40"/>
      <c r="Z387" s="40"/>
      <c r="AA387" s="904"/>
      <c r="AB387" s="904"/>
      <c r="AC387" s="904"/>
      <c r="AD387" s="904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</row>
    <row r="388" spans="1:87" ht="81" hidden="1" outlineLevel="1">
      <c r="A388" s="1045"/>
      <c r="B388" s="1046"/>
      <c r="C388" s="1046"/>
      <c r="D388" s="1046"/>
      <c r="E388" s="1046"/>
      <c r="F388" s="1046"/>
      <c r="G388" s="1046"/>
      <c r="H388" s="1046"/>
      <c r="I388" s="1046"/>
      <c r="J388" s="545"/>
      <c r="K388" s="541"/>
      <c r="L388" s="546"/>
      <c r="M388" s="551" t="s">
        <v>510</v>
      </c>
      <c r="N388" s="547"/>
      <c r="O388" s="552">
        <v>1</v>
      </c>
      <c r="P388" s="541">
        <v>9631</v>
      </c>
      <c r="Q388" s="541">
        <v>70200</v>
      </c>
      <c r="R388" s="541">
        <v>70200</v>
      </c>
      <c r="S388" s="541">
        <v>70200</v>
      </c>
      <c r="T388" s="541">
        <v>70200</v>
      </c>
      <c r="U388" s="40"/>
      <c r="V388" s="40">
        <f t="shared" si="111"/>
        <v>0</v>
      </c>
      <c r="W388" s="40"/>
      <c r="X388" s="40"/>
      <c r="Y388" s="40"/>
      <c r="Z388" s="40"/>
    </row>
    <row r="389" spans="1:87" ht="40.5" hidden="1" outlineLevel="1">
      <c r="A389" s="1045"/>
      <c r="B389" s="1046"/>
      <c r="C389" s="1046"/>
      <c r="D389" s="1046"/>
      <c r="E389" s="1046"/>
      <c r="F389" s="1046"/>
      <c r="G389" s="1046"/>
      <c r="H389" s="1046"/>
      <c r="I389" s="1046"/>
      <c r="J389" s="545"/>
      <c r="K389" s="541"/>
      <c r="L389" s="546"/>
      <c r="M389" s="553" t="s">
        <v>511</v>
      </c>
      <c r="N389" s="55"/>
      <c r="O389" s="100">
        <v>1</v>
      </c>
      <c r="P389" s="32">
        <v>17010</v>
      </c>
      <c r="Q389" s="32"/>
      <c r="R389" s="554"/>
      <c r="S389" s="554"/>
      <c r="T389" s="554"/>
      <c r="U389" s="40"/>
      <c r="V389" s="40">
        <f t="shared" si="111"/>
        <v>0</v>
      </c>
      <c r="W389" s="40"/>
      <c r="X389" s="40"/>
      <c r="Y389" s="40"/>
      <c r="Z389" s="40"/>
    </row>
    <row r="390" spans="1:87" hidden="1" outlineLevel="1">
      <c r="A390" s="1045"/>
      <c r="B390" s="1046"/>
      <c r="C390" s="1046"/>
      <c r="D390" s="1046"/>
      <c r="E390" s="1046"/>
      <c r="F390" s="1046"/>
      <c r="G390" s="1046"/>
      <c r="H390" s="1046"/>
      <c r="I390" s="1046"/>
      <c r="J390" s="545"/>
      <c r="K390" s="541"/>
      <c r="L390" s="546"/>
      <c r="M390" s="551" t="s">
        <v>512</v>
      </c>
      <c r="N390" s="547"/>
      <c r="O390" s="552">
        <v>4</v>
      </c>
      <c r="P390" s="541">
        <v>9631</v>
      </c>
      <c r="Q390" s="541">
        <v>280800</v>
      </c>
      <c r="R390" s="541">
        <v>280800</v>
      </c>
      <c r="S390" s="541">
        <v>280800</v>
      </c>
      <c r="T390" s="541">
        <v>280800</v>
      </c>
      <c r="U390" s="40"/>
      <c r="V390" s="40">
        <f t="shared" si="111"/>
        <v>0</v>
      </c>
      <c r="W390" s="40"/>
      <c r="X390" s="40"/>
      <c r="Y390" s="40"/>
      <c r="Z390" s="40"/>
    </row>
    <row r="391" spans="1:87" hidden="1" outlineLevel="1">
      <c r="A391" s="1045"/>
      <c r="B391" s="1046"/>
      <c r="C391" s="1046"/>
      <c r="D391" s="1046"/>
      <c r="E391" s="1046"/>
      <c r="F391" s="1046"/>
      <c r="G391" s="1046"/>
      <c r="H391" s="1046"/>
      <c r="I391" s="1046"/>
      <c r="J391" s="545"/>
      <c r="K391" s="541"/>
      <c r="L391" s="546"/>
      <c r="M391" s="551" t="s">
        <v>513</v>
      </c>
      <c r="N391" s="547"/>
      <c r="O391" s="552">
        <v>1</v>
      </c>
      <c r="P391" s="541">
        <v>9631</v>
      </c>
      <c r="Q391" s="541">
        <v>70200</v>
      </c>
      <c r="R391" s="541">
        <v>70200</v>
      </c>
      <c r="S391" s="541">
        <v>70200</v>
      </c>
      <c r="T391" s="541">
        <v>70200</v>
      </c>
      <c r="U391" s="40"/>
      <c r="V391" s="40">
        <f t="shared" si="111"/>
        <v>0</v>
      </c>
      <c r="W391" s="40"/>
      <c r="X391" s="40"/>
      <c r="Y391" s="40"/>
      <c r="Z391" s="40"/>
    </row>
    <row r="392" spans="1:87" hidden="1" outlineLevel="1">
      <c r="A392" s="1045"/>
      <c r="B392" s="1046"/>
      <c r="C392" s="1046"/>
      <c r="D392" s="1046"/>
      <c r="E392" s="1046"/>
      <c r="F392" s="1046"/>
      <c r="G392" s="1046"/>
      <c r="H392" s="1046"/>
      <c r="I392" s="1046"/>
      <c r="J392" s="545"/>
      <c r="K392" s="541"/>
      <c r="L392" s="546"/>
      <c r="M392" s="551" t="s">
        <v>514</v>
      </c>
      <c r="N392" s="547"/>
      <c r="O392" s="552">
        <v>1</v>
      </c>
      <c r="P392" s="541">
        <v>9631</v>
      </c>
      <c r="Q392" s="541">
        <v>70200</v>
      </c>
      <c r="R392" s="541">
        <v>70200</v>
      </c>
      <c r="S392" s="541">
        <v>70200</v>
      </c>
      <c r="T392" s="541">
        <v>70200</v>
      </c>
      <c r="U392" s="40"/>
      <c r="V392" s="40">
        <f t="shared" si="111"/>
        <v>0</v>
      </c>
      <c r="W392" s="40"/>
      <c r="X392" s="40"/>
      <c r="Y392" s="40"/>
      <c r="Z392" s="40"/>
    </row>
    <row r="393" spans="1:87" ht="40.5" hidden="1" outlineLevel="1">
      <c r="A393" s="1045"/>
      <c r="B393" s="1046"/>
      <c r="C393" s="1046"/>
      <c r="D393" s="1046"/>
      <c r="E393" s="1046"/>
      <c r="F393" s="1046"/>
      <c r="G393" s="1046"/>
      <c r="H393" s="1046"/>
      <c r="I393" s="1046"/>
      <c r="J393" s="545"/>
      <c r="K393" s="541"/>
      <c r="L393" s="546"/>
      <c r="M393" s="551" t="s">
        <v>515</v>
      </c>
      <c r="N393" s="547"/>
      <c r="O393" s="552">
        <v>2</v>
      </c>
      <c r="P393" s="541">
        <v>9631</v>
      </c>
      <c r="Q393" s="541">
        <v>140400</v>
      </c>
      <c r="R393" s="541">
        <v>140400</v>
      </c>
      <c r="S393" s="541">
        <v>140400</v>
      </c>
      <c r="T393" s="541">
        <v>140400</v>
      </c>
      <c r="U393" s="40"/>
      <c r="V393" s="40">
        <f t="shared" si="111"/>
        <v>0</v>
      </c>
      <c r="W393" s="40"/>
      <c r="X393" s="40"/>
      <c r="Y393" s="40"/>
      <c r="Z393" s="40"/>
    </row>
    <row r="394" spans="1:87" hidden="1" outlineLevel="1">
      <c r="A394" s="1045"/>
      <c r="B394" s="1046"/>
      <c r="C394" s="1046"/>
      <c r="D394" s="1046"/>
      <c r="E394" s="1046"/>
      <c r="F394" s="1046"/>
      <c r="G394" s="1046"/>
      <c r="H394" s="1046"/>
      <c r="I394" s="1046"/>
      <c r="J394" s="545"/>
      <c r="K394" s="541"/>
      <c r="L394" s="546"/>
      <c r="M394" s="551" t="s">
        <v>516</v>
      </c>
      <c r="N394" s="547"/>
      <c r="O394" s="552">
        <v>2</v>
      </c>
      <c r="P394" s="541">
        <v>9631</v>
      </c>
      <c r="Q394" s="541">
        <v>140400</v>
      </c>
      <c r="R394" s="541">
        <v>140400</v>
      </c>
      <c r="S394" s="541">
        <v>140400</v>
      </c>
      <c r="T394" s="541">
        <v>140400</v>
      </c>
      <c r="U394" s="40"/>
      <c r="V394" s="40">
        <f t="shared" si="111"/>
        <v>0</v>
      </c>
      <c r="W394" s="40"/>
      <c r="X394" s="40"/>
      <c r="Y394" s="40"/>
      <c r="Z394" s="40"/>
    </row>
    <row r="395" spans="1:87" hidden="1" outlineLevel="1">
      <c r="A395" s="1045"/>
      <c r="B395" s="1046"/>
      <c r="C395" s="1046"/>
      <c r="D395" s="1046"/>
      <c r="E395" s="1046"/>
      <c r="F395" s="1046"/>
      <c r="G395" s="1046"/>
      <c r="H395" s="1046"/>
      <c r="I395" s="1046"/>
      <c r="J395" s="545"/>
      <c r="K395" s="541"/>
      <c r="L395" s="546"/>
      <c r="M395" s="551" t="s">
        <v>517</v>
      </c>
      <c r="N395" s="547"/>
      <c r="O395" s="552">
        <v>4</v>
      </c>
      <c r="P395" s="541">
        <v>9631</v>
      </c>
      <c r="Q395" s="541">
        <v>280800</v>
      </c>
      <c r="R395" s="541">
        <v>280800</v>
      </c>
      <c r="S395" s="541">
        <v>280800</v>
      </c>
      <c r="T395" s="541">
        <v>280800</v>
      </c>
      <c r="U395" s="40"/>
      <c r="V395" s="40">
        <f t="shared" si="111"/>
        <v>0</v>
      </c>
      <c r="W395" s="40"/>
      <c r="X395" s="40"/>
      <c r="Y395" s="40"/>
      <c r="Z395" s="40"/>
    </row>
    <row r="396" spans="1:87" ht="40.5" hidden="1" outlineLevel="1">
      <c r="A396" s="1045"/>
      <c r="B396" s="1046"/>
      <c r="C396" s="1046"/>
      <c r="D396" s="1046"/>
      <c r="E396" s="1046"/>
      <c r="F396" s="1046"/>
      <c r="G396" s="1046"/>
      <c r="H396" s="1046"/>
      <c r="I396" s="1046"/>
      <c r="J396" s="545"/>
      <c r="K396" s="541"/>
      <c r="L396" s="546"/>
      <c r="M396" s="553" t="s">
        <v>518</v>
      </c>
      <c r="N396" s="55"/>
      <c r="O396" s="100">
        <v>1</v>
      </c>
      <c r="P396" s="32">
        <v>24300</v>
      </c>
      <c r="Q396" s="32">
        <v>218700</v>
      </c>
      <c r="R396" s="32">
        <v>218700</v>
      </c>
      <c r="S396" s="32">
        <v>218700</v>
      </c>
      <c r="T396" s="32">
        <v>218700</v>
      </c>
      <c r="U396" s="40"/>
      <c r="V396" s="40">
        <f t="shared" si="111"/>
        <v>0</v>
      </c>
      <c r="W396" s="40"/>
      <c r="X396" s="40"/>
      <c r="Y396" s="40"/>
      <c r="Z396" s="40"/>
    </row>
    <row r="397" spans="1:87" ht="60.75" hidden="1" outlineLevel="1">
      <c r="A397" s="1045"/>
      <c r="B397" s="1046"/>
      <c r="C397" s="1046"/>
      <c r="D397" s="1046"/>
      <c r="E397" s="1046"/>
      <c r="F397" s="1046"/>
      <c r="G397" s="1046"/>
      <c r="H397" s="1046"/>
      <c r="I397" s="1046"/>
      <c r="J397" s="545"/>
      <c r="K397" s="541"/>
      <c r="L397" s="546"/>
      <c r="M397" s="551" t="s">
        <v>519</v>
      </c>
      <c r="N397" s="547"/>
      <c r="O397" s="552">
        <v>1</v>
      </c>
      <c r="P397" s="541">
        <v>9631</v>
      </c>
      <c r="Q397" s="541">
        <v>85050</v>
      </c>
      <c r="R397" s="541">
        <f>Q397</f>
        <v>85050</v>
      </c>
      <c r="S397" s="541">
        <f>R397</f>
        <v>85050</v>
      </c>
      <c r="T397" s="541">
        <f>S397</f>
        <v>85050</v>
      </c>
      <c r="U397" s="40"/>
      <c r="V397" s="40">
        <f t="shared" si="111"/>
        <v>0</v>
      </c>
      <c r="W397" s="40"/>
      <c r="X397" s="40"/>
      <c r="Y397" s="40"/>
      <c r="Z397" s="40"/>
    </row>
    <row r="398" spans="1:87" hidden="1" outlineLevel="1">
      <c r="A398" s="1045"/>
      <c r="B398" s="1046"/>
      <c r="C398" s="1046"/>
      <c r="D398" s="1046"/>
      <c r="E398" s="1046"/>
      <c r="F398" s="1046"/>
      <c r="G398" s="1046"/>
      <c r="H398" s="1046"/>
      <c r="I398" s="1046"/>
      <c r="J398" s="545"/>
      <c r="K398" s="541"/>
      <c r="L398" s="546"/>
      <c r="M398" s="551" t="s">
        <v>520</v>
      </c>
      <c r="N398" s="547"/>
      <c r="O398" s="552">
        <v>4</v>
      </c>
      <c r="P398" s="541">
        <v>9631</v>
      </c>
      <c r="Q398" s="541">
        <v>280800</v>
      </c>
      <c r="R398" s="541">
        <v>280800</v>
      </c>
      <c r="S398" s="541">
        <v>280800</v>
      </c>
      <c r="T398" s="541">
        <v>280800</v>
      </c>
      <c r="U398" s="40"/>
      <c r="V398" s="40">
        <f t="shared" si="111"/>
        <v>0</v>
      </c>
      <c r="W398" s="40"/>
      <c r="X398" s="40"/>
      <c r="Y398" s="40"/>
      <c r="Z398" s="40"/>
    </row>
    <row r="399" spans="1:87" hidden="1" outlineLevel="1">
      <c r="A399" s="1045"/>
      <c r="B399" s="1046"/>
      <c r="C399" s="1046"/>
      <c r="D399" s="1046"/>
      <c r="E399" s="1046"/>
      <c r="F399" s="1046"/>
      <c r="G399" s="1046"/>
      <c r="H399" s="1046"/>
      <c r="I399" s="1046"/>
      <c r="J399" s="545"/>
      <c r="K399" s="541"/>
      <c r="L399" s="546"/>
      <c r="M399" s="551" t="s">
        <v>508</v>
      </c>
      <c r="N399" s="544"/>
      <c r="O399" s="555">
        <v>1</v>
      </c>
      <c r="P399" s="541">
        <v>9631</v>
      </c>
      <c r="Q399" s="541">
        <v>70200</v>
      </c>
      <c r="R399" s="541">
        <v>70200</v>
      </c>
      <c r="S399" s="541">
        <v>70200</v>
      </c>
      <c r="T399" s="541">
        <v>70200</v>
      </c>
      <c r="U399" s="40"/>
      <c r="V399" s="40">
        <f t="shared" si="111"/>
        <v>0</v>
      </c>
      <c r="W399" s="40"/>
      <c r="X399" s="40"/>
      <c r="Y399" s="40"/>
      <c r="Z399" s="40"/>
    </row>
    <row r="400" spans="1:87" ht="81" hidden="1" outlineLevel="1">
      <c r="A400" s="1045"/>
      <c r="B400" s="1046"/>
      <c r="C400" s="1046"/>
      <c r="D400" s="1046"/>
      <c r="E400" s="1046"/>
      <c r="F400" s="1046"/>
      <c r="G400" s="1046"/>
      <c r="H400" s="1046"/>
      <c r="I400" s="1046"/>
      <c r="J400" s="545"/>
      <c r="K400" s="541"/>
      <c r="L400" s="546"/>
      <c r="M400" s="551" t="s">
        <v>510</v>
      </c>
      <c r="N400" s="544"/>
      <c r="O400" s="555">
        <v>1</v>
      </c>
      <c r="P400" s="541">
        <v>9631</v>
      </c>
      <c r="Q400" s="541">
        <v>70200</v>
      </c>
      <c r="R400" s="541">
        <v>70200</v>
      </c>
      <c r="S400" s="541">
        <v>70200</v>
      </c>
      <c r="T400" s="541">
        <v>70200</v>
      </c>
      <c r="U400" s="40"/>
      <c r="V400" s="40">
        <f t="shared" si="111"/>
        <v>0</v>
      </c>
      <c r="W400" s="40"/>
      <c r="X400" s="40"/>
      <c r="Y400" s="40"/>
      <c r="Z400" s="40"/>
    </row>
    <row r="401" spans="1:47" hidden="1" outlineLevel="1">
      <c r="A401" s="1045"/>
      <c r="B401" s="1046"/>
      <c r="C401" s="1046"/>
      <c r="D401" s="1046"/>
      <c r="E401" s="1046"/>
      <c r="F401" s="1046"/>
      <c r="G401" s="1046"/>
      <c r="H401" s="1046"/>
      <c r="I401" s="1046"/>
      <c r="J401" s="545"/>
      <c r="K401" s="541"/>
      <c r="L401" s="546"/>
      <c r="M401" s="551" t="s">
        <v>513</v>
      </c>
      <c r="N401" s="544"/>
      <c r="O401" s="555">
        <v>1</v>
      </c>
      <c r="P401" s="541">
        <v>9631</v>
      </c>
      <c r="Q401" s="541">
        <v>70200</v>
      </c>
      <c r="R401" s="541">
        <v>70200</v>
      </c>
      <c r="S401" s="541">
        <v>70200</v>
      </c>
      <c r="T401" s="541">
        <v>70200</v>
      </c>
      <c r="U401" s="40"/>
      <c r="V401" s="40">
        <f t="shared" si="111"/>
        <v>0</v>
      </c>
      <c r="W401" s="40"/>
      <c r="X401" s="40"/>
      <c r="Y401" s="40"/>
      <c r="Z401" s="40"/>
    </row>
    <row r="402" spans="1:47" hidden="1" outlineLevel="1">
      <c r="A402" s="1045"/>
      <c r="B402" s="1046"/>
      <c r="C402" s="1046"/>
      <c r="D402" s="1046"/>
      <c r="E402" s="1046"/>
      <c r="F402" s="1046"/>
      <c r="G402" s="1046"/>
      <c r="H402" s="1046"/>
      <c r="I402" s="1046"/>
      <c r="J402" s="545"/>
      <c r="K402" s="541"/>
      <c r="L402" s="546"/>
      <c r="M402" s="551" t="s">
        <v>514</v>
      </c>
      <c r="N402" s="547"/>
      <c r="O402" s="552">
        <v>1</v>
      </c>
      <c r="P402" s="541">
        <v>9631</v>
      </c>
      <c r="Q402" s="541">
        <v>70200</v>
      </c>
      <c r="R402" s="541">
        <v>70200</v>
      </c>
      <c r="S402" s="541">
        <v>70200</v>
      </c>
      <c r="T402" s="541">
        <v>70200</v>
      </c>
      <c r="U402" s="40"/>
      <c r="V402" s="40">
        <f t="shared" si="111"/>
        <v>0</v>
      </c>
      <c r="W402" s="40"/>
      <c r="X402" s="40"/>
      <c r="Y402" s="40"/>
      <c r="Z402" s="40"/>
    </row>
    <row r="403" spans="1:47" hidden="1" outlineLevel="1">
      <c r="A403" s="1045"/>
      <c r="B403" s="1046"/>
      <c r="C403" s="1046"/>
      <c r="D403" s="1046"/>
      <c r="E403" s="1046"/>
      <c r="F403" s="1046"/>
      <c r="G403" s="1046"/>
      <c r="H403" s="1046"/>
      <c r="I403" s="1046"/>
      <c r="J403" s="545"/>
      <c r="K403" s="541"/>
      <c r="L403" s="546"/>
      <c r="M403" s="551"/>
      <c r="N403" s="547"/>
      <c r="O403" s="556"/>
      <c r="P403" s="541"/>
      <c r="Q403" s="541"/>
      <c r="R403" s="557"/>
      <c r="S403" s="541"/>
      <c r="T403" s="541"/>
      <c r="U403" s="40"/>
      <c r="V403" s="40">
        <f t="shared" si="111"/>
        <v>0</v>
      </c>
      <c r="W403" s="40"/>
      <c r="X403" s="40"/>
      <c r="Y403" s="40"/>
      <c r="Z403" s="40"/>
    </row>
    <row r="404" spans="1:47" ht="45.75" customHeight="1" collapsed="1">
      <c r="A404" s="1045"/>
      <c r="B404" s="1046"/>
      <c r="C404" s="1046"/>
      <c r="D404" s="1046"/>
      <c r="E404" s="1046"/>
      <c r="F404" s="1046"/>
      <c r="G404" s="1046"/>
      <c r="H404" s="1046"/>
      <c r="I404" s="1046"/>
      <c r="J404" s="540">
        <v>957989.98</v>
      </c>
      <c r="K404" s="541">
        <v>1124907</v>
      </c>
      <c r="L404" s="558">
        <v>2130</v>
      </c>
      <c r="M404" s="543" t="s">
        <v>521</v>
      </c>
      <c r="N404" s="544" t="s">
        <v>303</v>
      </c>
      <c r="O404" s="541"/>
      <c r="P404" s="541"/>
      <c r="Q404" s="541">
        <v>1086642.8</v>
      </c>
      <c r="R404" s="541">
        <v>1086642.8</v>
      </c>
      <c r="S404" s="541">
        <v>1086642.8</v>
      </c>
      <c r="T404" s="541">
        <v>1086642.8</v>
      </c>
      <c r="U404" s="40">
        <v>703212</v>
      </c>
      <c r="V404" s="40">
        <f t="shared" si="111"/>
        <v>703212</v>
      </c>
      <c r="W404" s="40">
        <v>0</v>
      </c>
      <c r="X404" s="40">
        <v>0</v>
      </c>
      <c r="Y404" s="40">
        <v>0</v>
      </c>
      <c r="Z404" s="40">
        <v>0</v>
      </c>
    </row>
    <row r="405" spans="1:47" ht="45.75" customHeight="1">
      <c r="A405" s="1045"/>
      <c r="B405" s="1046"/>
      <c r="C405" s="1046"/>
      <c r="D405" s="1046"/>
      <c r="E405" s="1046"/>
      <c r="F405" s="1046"/>
      <c r="G405" s="1046"/>
      <c r="H405" s="1046"/>
      <c r="I405" s="1046"/>
      <c r="J405" s="540">
        <v>3494171.19</v>
      </c>
      <c r="K405" s="541">
        <v>1263000</v>
      </c>
      <c r="L405" s="558">
        <v>2230</v>
      </c>
      <c r="M405" s="559" t="s">
        <v>522</v>
      </c>
      <c r="N405" s="560"/>
      <c r="O405" s="11"/>
      <c r="P405" s="11"/>
      <c r="Q405" s="11">
        <v>3554250</v>
      </c>
      <c r="R405" s="11">
        <v>3554250</v>
      </c>
      <c r="S405" s="11">
        <v>3554250</v>
      </c>
      <c r="T405" s="11">
        <v>3554250</v>
      </c>
      <c r="U405" s="11">
        <f t="shared" ref="U405:Z405" si="112">U406+U407</f>
        <v>1495182.25</v>
      </c>
      <c r="V405" s="11">
        <f t="shared" si="112"/>
        <v>1495182.25</v>
      </c>
      <c r="W405" s="11">
        <f t="shared" si="112"/>
        <v>0</v>
      </c>
      <c r="X405" s="11">
        <f t="shared" si="112"/>
        <v>0</v>
      </c>
      <c r="Y405" s="11">
        <f t="shared" si="112"/>
        <v>0</v>
      </c>
      <c r="Z405" s="11">
        <f t="shared" si="112"/>
        <v>0</v>
      </c>
    </row>
    <row r="406" spans="1:47" ht="84" customHeight="1">
      <c r="A406" s="1045"/>
      <c r="B406" s="1046"/>
      <c r="C406" s="1046"/>
      <c r="D406" s="1046"/>
      <c r="E406" s="1046"/>
      <c r="F406" s="1046"/>
      <c r="G406" s="1046"/>
      <c r="H406" s="1046"/>
      <c r="I406" s="1046"/>
      <c r="J406" s="540"/>
      <c r="K406" s="541"/>
      <c r="L406" s="561">
        <v>2230</v>
      </c>
      <c r="M406" s="543" t="s">
        <v>523</v>
      </c>
      <c r="N406" s="562" t="s">
        <v>524</v>
      </c>
      <c r="O406" s="563">
        <v>275</v>
      </c>
      <c r="P406" s="563">
        <v>6.22</v>
      </c>
      <c r="Q406" s="563">
        <v>1710500</v>
      </c>
      <c r="R406" s="563">
        <v>1710500</v>
      </c>
      <c r="S406" s="563">
        <v>1710500</v>
      </c>
      <c r="T406" s="563">
        <v>1710500</v>
      </c>
      <c r="U406" s="40">
        <v>745182.25</v>
      </c>
      <c r="V406" s="40">
        <f>U406</f>
        <v>745182.25</v>
      </c>
      <c r="W406" s="40">
        <v>0</v>
      </c>
      <c r="X406" s="40">
        <f>W406</f>
        <v>0</v>
      </c>
      <c r="Y406" s="40">
        <v>0</v>
      </c>
      <c r="Z406" s="40">
        <f>Y406</f>
        <v>0</v>
      </c>
    </row>
    <row r="407" spans="1:47" ht="43.5" customHeight="1">
      <c r="A407" s="1045"/>
      <c r="B407" s="1046"/>
      <c r="C407" s="1046"/>
      <c r="D407" s="1046"/>
      <c r="E407" s="1046"/>
      <c r="F407" s="1046"/>
      <c r="G407" s="1046"/>
      <c r="H407" s="1046"/>
      <c r="I407" s="1046"/>
      <c r="J407" s="540"/>
      <c r="K407" s="541"/>
      <c r="L407" s="561">
        <v>2230</v>
      </c>
      <c r="M407" s="543" t="s">
        <v>525</v>
      </c>
      <c r="N407" s="562" t="s">
        <v>526</v>
      </c>
      <c r="O407" s="563">
        <v>295</v>
      </c>
      <c r="P407" s="563">
        <v>6.25</v>
      </c>
      <c r="Q407" s="563">
        <v>1843750</v>
      </c>
      <c r="R407" s="563">
        <v>1843750</v>
      </c>
      <c r="S407" s="563">
        <v>1843750</v>
      </c>
      <c r="T407" s="563">
        <v>1843750</v>
      </c>
      <c r="U407" s="40">
        <v>750000</v>
      </c>
      <c r="V407" s="40">
        <f>U407</f>
        <v>750000</v>
      </c>
      <c r="W407" s="40">
        <v>0</v>
      </c>
      <c r="X407" s="40">
        <f>W407</f>
        <v>0</v>
      </c>
      <c r="Y407" s="40">
        <v>0</v>
      </c>
      <c r="Z407" s="40">
        <f>Y407</f>
        <v>0</v>
      </c>
    </row>
    <row r="408" spans="1:47" ht="33" customHeight="1">
      <c r="A408" s="1045"/>
      <c r="B408" s="1046"/>
      <c r="C408" s="1046"/>
      <c r="D408" s="1046"/>
      <c r="E408" s="1046"/>
      <c r="F408" s="1046"/>
      <c r="G408" s="1046"/>
      <c r="H408" s="1046"/>
      <c r="I408" s="1046"/>
      <c r="J408" s="540">
        <v>37036</v>
      </c>
      <c r="K408" s="541">
        <v>0</v>
      </c>
      <c r="L408" s="558">
        <v>7660</v>
      </c>
      <c r="M408" s="543" t="s">
        <v>527</v>
      </c>
      <c r="N408" s="560"/>
      <c r="O408" s="11"/>
      <c r="P408" s="11"/>
      <c r="Q408" s="11" t="e">
        <f>AO414+#REF!+AO415</f>
        <v>#REF!</v>
      </c>
      <c r="R408" s="11" t="e">
        <f>AP414+#REF!+AP415</f>
        <v>#REF!</v>
      </c>
      <c r="S408" s="11" t="e">
        <f>AQ414+#REF!+AQ415</f>
        <v>#REF!</v>
      </c>
      <c r="T408" s="11" t="e">
        <f>AR414+#REF!+AR415</f>
        <v>#REF!</v>
      </c>
      <c r="U408" s="40">
        <v>24997.5</v>
      </c>
      <c r="V408" s="40">
        <f>U408</f>
        <v>24997.5</v>
      </c>
      <c r="W408" s="40">
        <v>0</v>
      </c>
      <c r="X408" s="40">
        <f>W408</f>
        <v>0</v>
      </c>
      <c r="Y408" s="40">
        <v>0</v>
      </c>
      <c r="Z408" s="40">
        <f>Y408</f>
        <v>0</v>
      </c>
    </row>
    <row r="409" spans="1:47" ht="105.75" customHeight="1">
      <c r="A409" s="436" t="s">
        <v>203</v>
      </c>
      <c r="B409" s="564" t="s">
        <v>22</v>
      </c>
      <c r="C409" s="564" t="s">
        <v>146</v>
      </c>
      <c r="D409" s="564" t="s">
        <v>492</v>
      </c>
      <c r="E409" s="564" t="s">
        <v>25</v>
      </c>
      <c r="F409" s="564"/>
      <c r="G409" s="564" t="s">
        <v>397</v>
      </c>
      <c r="H409" s="564" t="s">
        <v>28</v>
      </c>
      <c r="I409" s="21" t="s">
        <v>495</v>
      </c>
      <c r="J409" s="23"/>
      <c r="K409" s="29"/>
      <c r="L409" s="565"/>
      <c r="M409" s="566"/>
      <c r="N409" s="567"/>
      <c r="O409" s="24"/>
      <c r="P409" s="24"/>
      <c r="Q409" s="24"/>
      <c r="R409" s="24"/>
      <c r="S409" s="24"/>
      <c r="T409" s="24"/>
      <c r="U409" s="143">
        <f t="shared" ref="U409:Z409" si="113">U410</f>
        <v>1900000</v>
      </c>
      <c r="V409" s="143">
        <f t="shared" si="113"/>
        <v>1900000</v>
      </c>
      <c r="W409" s="143">
        <f t="shared" si="113"/>
        <v>0</v>
      </c>
      <c r="X409" s="143">
        <f t="shared" si="113"/>
        <v>0</v>
      </c>
      <c r="Y409" s="143">
        <f t="shared" si="113"/>
        <v>0</v>
      </c>
      <c r="Z409" s="143">
        <f t="shared" si="113"/>
        <v>0</v>
      </c>
    </row>
    <row r="410" spans="1:47" ht="68.25" customHeight="1">
      <c r="A410" s="568" t="s">
        <v>496</v>
      </c>
      <c r="B410" s="569"/>
      <c r="C410" s="569"/>
      <c r="D410" s="569"/>
      <c r="E410" s="569"/>
      <c r="F410" s="569"/>
      <c r="G410" s="569"/>
      <c r="H410" s="569"/>
      <c r="I410" s="569" t="s">
        <v>528</v>
      </c>
      <c r="J410" s="540"/>
      <c r="K410" s="541"/>
      <c r="L410" s="558"/>
      <c r="M410" s="543"/>
      <c r="N410" s="560"/>
      <c r="O410" s="11"/>
      <c r="P410" s="11"/>
      <c r="Q410" s="11"/>
      <c r="R410" s="11"/>
      <c r="S410" s="11"/>
      <c r="T410" s="11"/>
      <c r="U410" s="40">
        <v>1900000</v>
      </c>
      <c r="V410" s="40">
        <v>1900000</v>
      </c>
      <c r="W410" s="40">
        <v>0</v>
      </c>
      <c r="X410" s="40">
        <v>0</v>
      </c>
      <c r="Y410" s="40">
        <v>0</v>
      </c>
      <c r="Z410" s="40">
        <v>0</v>
      </c>
    </row>
    <row r="411" spans="1:47" ht="33" customHeight="1">
      <c r="A411" s="1047" t="s">
        <v>529</v>
      </c>
      <c r="B411" s="1048"/>
      <c r="C411" s="1048"/>
      <c r="D411" s="1048"/>
      <c r="E411" s="1048"/>
      <c r="F411" s="1048"/>
      <c r="G411" s="1048"/>
      <c r="H411" s="1048"/>
      <c r="I411" s="1048"/>
      <c r="J411" s="1048"/>
      <c r="K411" s="1048"/>
      <c r="L411" s="1048"/>
      <c r="M411" s="1048"/>
      <c r="N411" s="1049"/>
      <c r="O411" s="570"/>
      <c r="P411" s="570"/>
      <c r="Q411" s="570"/>
      <c r="R411" s="570"/>
      <c r="S411" s="570"/>
      <c r="T411" s="570"/>
      <c r="U411" s="571">
        <f t="shared" ref="U411:Z412" si="114">U412</f>
        <v>600000</v>
      </c>
      <c r="V411" s="571">
        <f t="shared" si="114"/>
        <v>600000</v>
      </c>
      <c r="W411" s="571">
        <f t="shared" si="114"/>
        <v>0</v>
      </c>
      <c r="X411" s="571">
        <f t="shared" si="114"/>
        <v>0</v>
      </c>
      <c r="Y411" s="571">
        <f t="shared" si="114"/>
        <v>0</v>
      </c>
      <c r="Z411" s="571">
        <f t="shared" si="114"/>
        <v>0</v>
      </c>
    </row>
    <row r="412" spans="1:47" ht="144.75" customHeight="1">
      <c r="A412" s="50" t="s">
        <v>530</v>
      </c>
      <c r="B412" s="572" t="s">
        <v>22</v>
      </c>
      <c r="C412" s="572" t="s">
        <v>146</v>
      </c>
      <c r="D412" s="572" t="s">
        <v>531</v>
      </c>
      <c r="E412" s="564" t="s">
        <v>25</v>
      </c>
      <c r="F412" s="564"/>
      <c r="G412" s="564" t="s">
        <v>397</v>
      </c>
      <c r="H412" s="564" t="s">
        <v>28</v>
      </c>
      <c r="I412" s="50" t="s">
        <v>532</v>
      </c>
      <c r="J412" s="23"/>
      <c r="K412" s="29"/>
      <c r="L412" s="565"/>
      <c r="M412" s="566"/>
      <c r="N412" s="573"/>
      <c r="O412" s="24"/>
      <c r="P412" s="24"/>
      <c r="Q412" s="24"/>
      <c r="R412" s="24"/>
      <c r="S412" s="24"/>
      <c r="T412" s="24"/>
      <c r="U412" s="215">
        <f t="shared" si="114"/>
        <v>600000</v>
      </c>
      <c r="V412" s="215">
        <f t="shared" si="114"/>
        <v>600000</v>
      </c>
      <c r="W412" s="215">
        <f t="shared" si="114"/>
        <v>0</v>
      </c>
      <c r="X412" s="215">
        <f t="shared" si="114"/>
        <v>0</v>
      </c>
      <c r="Y412" s="215">
        <f t="shared" si="114"/>
        <v>0</v>
      </c>
      <c r="Z412" s="215">
        <f t="shared" si="114"/>
        <v>0</v>
      </c>
    </row>
    <row r="413" spans="1:47" ht="163.5" customHeight="1">
      <c r="A413" s="574" t="s">
        <v>132</v>
      </c>
      <c r="B413" s="569"/>
      <c r="C413" s="569"/>
      <c r="D413" s="569"/>
      <c r="E413" s="569"/>
      <c r="F413" s="569"/>
      <c r="G413" s="569"/>
      <c r="H413" s="569"/>
      <c r="I413" s="575" t="s">
        <v>533</v>
      </c>
      <c r="J413" s="540"/>
      <c r="K413" s="541"/>
      <c r="L413" s="558"/>
      <c r="M413" s="543"/>
      <c r="N413" s="576"/>
      <c r="O413" s="11"/>
      <c r="P413" s="11"/>
      <c r="Q413" s="11"/>
      <c r="R413" s="11"/>
      <c r="S413" s="11"/>
      <c r="T413" s="11"/>
      <c r="U413" s="40">
        <v>600000</v>
      </c>
      <c r="V413" s="40">
        <f>U413</f>
        <v>600000</v>
      </c>
      <c r="W413" s="40">
        <v>0</v>
      </c>
      <c r="X413" s="40">
        <v>0</v>
      </c>
      <c r="Y413" s="40">
        <v>0</v>
      </c>
      <c r="Z413" s="40">
        <v>0</v>
      </c>
    </row>
    <row r="414" spans="1:47" ht="107.25" customHeight="1">
      <c r="A414" s="1050" t="s">
        <v>534</v>
      </c>
      <c r="B414" s="1051"/>
      <c r="C414" s="1051"/>
      <c r="D414" s="1051"/>
      <c r="E414" s="1051"/>
      <c r="F414" s="1051"/>
      <c r="G414" s="1051"/>
      <c r="H414" s="1051"/>
      <c r="I414" s="1051"/>
      <c r="J414" s="1051"/>
      <c r="K414" s="1051"/>
      <c r="L414" s="1051"/>
      <c r="M414" s="1051"/>
      <c r="N414" s="1052"/>
      <c r="O414" s="577"/>
      <c r="P414" s="577" t="e">
        <f>P415+P417+P469+P472+P610+P582</f>
        <v>#REF!</v>
      </c>
      <c r="Q414" s="577" t="e">
        <f>Q415+Q417+Q469+Q472+Q610+#REF!+#REF!+Q582</f>
        <v>#REF!</v>
      </c>
      <c r="R414" s="577" t="e">
        <f>R415+R417+R469+R472+R610+#REF!+#REF!+R582</f>
        <v>#REF!</v>
      </c>
      <c r="S414" s="577" t="e">
        <f>S415+S417+S469+S472+S610+#REF!+#REF!+S582</f>
        <v>#REF!</v>
      </c>
      <c r="T414" s="577" t="e">
        <f>T415+T417+T469+T472+#REF!+T582</f>
        <v>#REF!</v>
      </c>
      <c r="U414" s="577">
        <f t="shared" ref="U414:Z414" si="115">U415+U417+U469+U472+U582+U609</f>
        <v>53099195.060000002</v>
      </c>
      <c r="V414" s="577">
        <f t="shared" si="115"/>
        <v>53099195.060000002</v>
      </c>
      <c r="W414" s="577">
        <f t="shared" si="115"/>
        <v>9277909.9699999988</v>
      </c>
      <c r="X414" s="577">
        <f t="shared" si="115"/>
        <v>9277909.9699999988</v>
      </c>
      <c r="Y414" s="577">
        <f t="shared" si="115"/>
        <v>9277909.9699999988</v>
      </c>
      <c r="Z414" s="577">
        <f t="shared" si="115"/>
        <v>9277909.9699999988</v>
      </c>
      <c r="AN414" s="268"/>
      <c r="AO414" s="578"/>
      <c r="AP414" s="578"/>
      <c r="AQ414" s="578"/>
      <c r="AR414" s="578"/>
      <c r="AS414" s="578"/>
      <c r="AT414" s="578"/>
      <c r="AU414" s="578"/>
    </row>
    <row r="415" spans="1:47" ht="174.75" customHeight="1">
      <c r="A415" s="408" t="s">
        <v>535</v>
      </c>
      <c r="B415" s="228" t="s">
        <v>22</v>
      </c>
      <c r="C415" s="228" t="s">
        <v>23</v>
      </c>
      <c r="D415" s="228" t="s">
        <v>536</v>
      </c>
      <c r="E415" s="228" t="s">
        <v>537</v>
      </c>
      <c r="F415" s="228" t="s">
        <v>538</v>
      </c>
      <c r="G415" s="228" t="s">
        <v>538</v>
      </c>
      <c r="H415" s="228" t="s">
        <v>28</v>
      </c>
      <c r="I415" s="190" t="s">
        <v>539</v>
      </c>
      <c r="J415" s="579">
        <f>J416</f>
        <v>682000</v>
      </c>
      <c r="K415" s="580">
        <f>K416</f>
        <v>1440000</v>
      </c>
      <c r="L415" s="189" t="s">
        <v>540</v>
      </c>
      <c r="M415" s="581"/>
      <c r="N415" s="475">
        <v>26</v>
      </c>
      <c r="O415" s="483">
        <v>2000</v>
      </c>
      <c r="P415" s="483">
        <f>P416</f>
        <v>0</v>
      </c>
      <c r="Q415" s="483">
        <f>O415*N415*9</f>
        <v>468000</v>
      </c>
      <c r="R415" s="483">
        <f>O415*N415*9</f>
        <v>468000</v>
      </c>
      <c r="S415" s="483">
        <f>O415*N415*9</f>
        <v>468000</v>
      </c>
      <c r="T415" s="232">
        <f t="shared" ref="T415:Z415" si="116">T416</f>
        <v>468000</v>
      </c>
      <c r="U415" s="232">
        <f t="shared" si="116"/>
        <v>468000</v>
      </c>
      <c r="V415" s="232">
        <f t="shared" si="116"/>
        <v>468000</v>
      </c>
      <c r="W415" s="232">
        <f t="shared" si="116"/>
        <v>468000</v>
      </c>
      <c r="X415" s="232">
        <f t="shared" si="116"/>
        <v>468000</v>
      </c>
      <c r="Y415" s="232">
        <f t="shared" si="116"/>
        <v>468000</v>
      </c>
      <c r="Z415" s="232">
        <f t="shared" si="116"/>
        <v>468000</v>
      </c>
      <c r="AN415" s="268"/>
      <c r="AO415" s="578"/>
      <c r="AP415" s="578"/>
      <c r="AQ415" s="578"/>
      <c r="AR415" s="578"/>
      <c r="AS415" s="578"/>
      <c r="AT415" s="578"/>
      <c r="AU415" s="578"/>
    </row>
    <row r="416" spans="1:47" ht="329.25" customHeight="1">
      <c r="A416" s="34" t="s">
        <v>132</v>
      </c>
      <c r="B416" s="582"/>
      <c r="C416" s="582"/>
      <c r="D416" s="582"/>
      <c r="E416" s="582"/>
      <c r="F416" s="582"/>
      <c r="G416" s="582"/>
      <c r="H416" s="582"/>
      <c r="I416" s="74" t="s">
        <v>541</v>
      </c>
      <c r="J416" s="451">
        <v>682000</v>
      </c>
      <c r="K416" s="83">
        <v>1440000</v>
      </c>
      <c r="L416" s="83"/>
      <c r="M416" s="583"/>
      <c r="N416" s="584">
        <v>26</v>
      </c>
      <c r="O416" s="585">
        <v>2000</v>
      </c>
      <c r="P416" s="83"/>
      <c r="Q416" s="39">
        <f>O416*N416*9</f>
        <v>468000</v>
      </c>
      <c r="R416" s="83">
        <f>O416*N416*9</f>
        <v>468000</v>
      </c>
      <c r="S416" s="83">
        <f>O416*N416*9</f>
        <v>468000</v>
      </c>
      <c r="T416" s="39">
        <v>468000</v>
      </c>
      <c r="U416" s="39">
        <v>468000</v>
      </c>
      <c r="V416" s="39">
        <f>U416</f>
        <v>468000</v>
      </c>
      <c r="W416" s="39">
        <v>468000</v>
      </c>
      <c r="X416" s="39">
        <f>W416</f>
        <v>468000</v>
      </c>
      <c r="Y416" s="39">
        <v>468000</v>
      </c>
      <c r="Z416" s="40">
        <f>Y416</f>
        <v>468000</v>
      </c>
      <c r="AE416" s="452"/>
      <c r="AH416" s="586"/>
      <c r="AI416" s="268"/>
      <c r="AK416" s="8"/>
      <c r="AM416" s="268"/>
      <c r="AN416" s="268"/>
      <c r="AO416" s="578"/>
      <c r="AP416" s="578"/>
      <c r="AQ416" s="578"/>
      <c r="AR416" s="578"/>
      <c r="AS416" s="578"/>
      <c r="AT416" s="578"/>
      <c r="AU416" s="578"/>
    </row>
    <row r="417" spans="1:47" ht="330" customHeight="1">
      <c r="A417" s="587" t="s">
        <v>542</v>
      </c>
      <c r="B417" s="588" t="s">
        <v>22</v>
      </c>
      <c r="C417" s="588" t="s">
        <v>23</v>
      </c>
      <c r="D417" s="588" t="s">
        <v>543</v>
      </c>
      <c r="E417" s="588" t="s">
        <v>25</v>
      </c>
      <c r="F417" s="588" t="s">
        <v>544</v>
      </c>
      <c r="G417" s="588" t="s">
        <v>545</v>
      </c>
      <c r="H417" s="588" t="s">
        <v>28</v>
      </c>
      <c r="I417" s="589" t="s">
        <v>546</v>
      </c>
      <c r="J417" s="590" t="e">
        <f>#REF!+#REF!+#REF!+#REF!+#REF!+J418+#REF!+#REF!+#REF!+#REF!+J422+J423+J453+#REF!+J454+J455+J456+J457+J458+J461+J462+J463+J464+J465+#REF!</f>
        <v>#REF!</v>
      </c>
      <c r="K417" s="579" t="e">
        <f>#REF!+#REF!+#REF!+#REF!+#REF!+K418+#REF!+#REF!+#REF!+#REF!+K422+K423+K453+#REF!+K454+K455+K456+K457+K458+K461+K462+K463+K464+K465+#REF!</f>
        <v>#REF!</v>
      </c>
      <c r="L417" s="189" t="s">
        <v>547</v>
      </c>
      <c r="M417" s="516"/>
      <c r="N417" s="591" t="s">
        <v>469</v>
      </c>
      <c r="O417" s="590"/>
      <c r="P417" s="590" t="e">
        <f>#REF!+P418+#REF!+#REF!+#REF!+#REF!+P422+P423+#REF!+P453+#REF!+P454+P455+P456+P457+P458+P461+P462+P463+P464+P465</f>
        <v>#REF!</v>
      </c>
      <c r="Q417" s="590" t="e">
        <f>#REF!+#REF!+#REF!+#REF!+#REF!+Q418+#REF!+#REF!+#REF!+#REF!+Q422+Q423+Q453+#REF!+Q454+Q455+Q456+Q457+Q458+Q461+Q462+Q463+Q464+Q465+#REF!+Q460+Q459</f>
        <v>#REF!</v>
      </c>
      <c r="R417" s="590" t="e">
        <f>#REF!+#REF!+#REF!+#REF!+#REF!+R418+#REF!+#REF!+#REF!+#REF!+R422+R423+R453+#REF!+R454+R455+R456+R457+R458+R461+R462+R463+R464+R465+#REF!+R460+R459</f>
        <v>#REF!</v>
      </c>
      <c r="S417" s="590" t="e">
        <f>#REF!+#REF!+#REF!+#REF!+#REF!+S418+#REF!+#REF!+#REF!+#REF!+S422+S423+S453+#REF!+S454+S455+S456+S457+S458+S461+S462+S463+S464+S465+#REF!+S460+S459</f>
        <v>#REF!</v>
      </c>
      <c r="T417" s="446" t="e">
        <f>#REF!+#REF!+#REF!+#REF!+#REF!+T418+#REF!+#REF!+#REF!+#REF!+T422+T423+T453+#REF!+T454+T455+T456+T457+T458+T461+T462+T463+T464+T465+#REF!+T460+T459</f>
        <v>#REF!</v>
      </c>
      <c r="U417" s="446">
        <f t="shared" ref="U417:Z417" si="117">U418+U419+U422+U423+U425+U453+U461+U464+U465+U466+U468+U467</f>
        <v>706700</v>
      </c>
      <c r="V417" s="446">
        <f t="shared" si="117"/>
        <v>706700</v>
      </c>
      <c r="W417" s="446">
        <f t="shared" si="117"/>
        <v>446761.88</v>
      </c>
      <c r="X417" s="446">
        <f t="shared" si="117"/>
        <v>446761.88</v>
      </c>
      <c r="Y417" s="446">
        <f t="shared" si="117"/>
        <v>446761.88</v>
      </c>
      <c r="Z417" s="446">
        <f t="shared" si="117"/>
        <v>446761.88</v>
      </c>
      <c r="AE417" s="452"/>
      <c r="AH417" s="586"/>
      <c r="AI417" s="268"/>
      <c r="AK417" s="8"/>
      <c r="AM417" s="268"/>
      <c r="AN417" s="268"/>
      <c r="AO417" s="578"/>
      <c r="AP417" s="578"/>
      <c r="AQ417" s="578"/>
      <c r="AR417" s="578"/>
      <c r="AS417" s="578"/>
      <c r="AT417" s="578"/>
      <c r="AU417" s="578"/>
    </row>
    <row r="418" spans="1:47" ht="93.75" customHeight="1">
      <c r="A418" s="592" t="s">
        <v>548</v>
      </c>
      <c r="B418" s="984"/>
      <c r="C418" s="984"/>
      <c r="D418" s="984"/>
      <c r="E418" s="984"/>
      <c r="F418" s="984"/>
      <c r="G418" s="984"/>
      <c r="H418" s="984"/>
      <c r="I418" s="984" t="s">
        <v>549</v>
      </c>
      <c r="J418" s="593">
        <v>42200</v>
      </c>
      <c r="K418" s="594">
        <v>15000</v>
      </c>
      <c r="L418" s="595"/>
      <c r="M418" s="596" t="s">
        <v>550</v>
      </c>
      <c r="N418" s="597">
        <v>1</v>
      </c>
      <c r="O418" s="598">
        <v>20000</v>
      </c>
      <c r="P418" s="594">
        <f>ROUND(N418*O418,0)</f>
        <v>20000</v>
      </c>
      <c r="Q418" s="594">
        <v>40000</v>
      </c>
      <c r="R418" s="594">
        <v>20000</v>
      </c>
      <c r="S418" s="594">
        <v>40000</v>
      </c>
      <c r="T418" s="39">
        <v>20000</v>
      </c>
      <c r="U418" s="39">
        <v>76000</v>
      </c>
      <c r="V418" s="39">
        <f>U418</f>
        <v>76000</v>
      </c>
      <c r="W418" s="39">
        <v>12644</v>
      </c>
      <c r="X418" s="39">
        <f>W418</f>
        <v>12644</v>
      </c>
      <c r="Y418" s="39">
        <f>W418</f>
        <v>12644</v>
      </c>
      <c r="Z418" s="40">
        <f>Y418</f>
        <v>12644</v>
      </c>
      <c r="AE418" s="452"/>
      <c r="AN418" s="268"/>
      <c r="AO418" s="578"/>
      <c r="AP418" s="578"/>
      <c r="AQ418" s="578"/>
      <c r="AR418" s="578"/>
      <c r="AS418" s="578"/>
      <c r="AT418" s="578"/>
      <c r="AU418" s="578"/>
    </row>
    <row r="419" spans="1:47" ht="390" customHeight="1">
      <c r="A419" s="592" t="s">
        <v>551</v>
      </c>
      <c r="B419" s="984"/>
      <c r="C419" s="984"/>
      <c r="D419" s="984"/>
      <c r="E419" s="984"/>
      <c r="F419" s="984"/>
      <c r="G419" s="984"/>
      <c r="H419" s="984"/>
      <c r="I419" s="984"/>
      <c r="J419" s="1042"/>
      <c r="K419" s="1042"/>
      <c r="L419" s="1042"/>
      <c r="M419" s="599" t="s">
        <v>552</v>
      </c>
      <c r="N419" s="600">
        <v>54</v>
      </c>
      <c r="O419" s="594">
        <v>7444.44</v>
      </c>
      <c r="P419" s="594">
        <v>402000</v>
      </c>
      <c r="Q419" s="594">
        <v>402000</v>
      </c>
      <c r="R419" s="594"/>
      <c r="S419" s="594"/>
      <c r="T419" s="39">
        <v>130300</v>
      </c>
      <c r="U419" s="39">
        <v>130300</v>
      </c>
      <c r="V419" s="39">
        <f t="shared" ref="V419:V464" si="118">U419</f>
        <v>130300</v>
      </c>
      <c r="W419" s="39">
        <v>82361.88</v>
      </c>
      <c r="X419" s="39">
        <f t="shared" ref="X419:X464" si="119">W419</f>
        <v>82361.88</v>
      </c>
      <c r="Y419" s="39">
        <f>W419</f>
        <v>82361.88</v>
      </c>
      <c r="Z419" s="40">
        <f t="shared" ref="Z419:Z464" si="120">Y419</f>
        <v>82361.88</v>
      </c>
      <c r="AE419" s="452"/>
      <c r="AN419" s="268"/>
      <c r="AO419" s="578"/>
      <c r="AP419" s="578"/>
      <c r="AQ419" s="578"/>
      <c r="AR419" s="578"/>
      <c r="AS419" s="578"/>
      <c r="AT419" s="578"/>
      <c r="AU419" s="578"/>
    </row>
    <row r="420" spans="1:47" ht="232.5" hidden="1" customHeight="1">
      <c r="A420" s="380"/>
      <c r="B420" s="984"/>
      <c r="C420" s="984"/>
      <c r="D420" s="984"/>
      <c r="E420" s="984"/>
      <c r="F420" s="984"/>
      <c r="G420" s="984"/>
      <c r="H420" s="984"/>
      <c r="I420" s="984"/>
      <c r="J420" s="1042"/>
      <c r="K420" s="1042"/>
      <c r="L420" s="1042"/>
      <c r="M420" s="601" t="s">
        <v>553</v>
      </c>
      <c r="N420" s="600">
        <v>58</v>
      </c>
      <c r="O420" s="594">
        <f>ROUND(R420/N420,2)</f>
        <v>6620.69</v>
      </c>
      <c r="P420" s="594">
        <v>384000</v>
      </c>
      <c r="Q420" s="594"/>
      <c r="R420" s="594">
        <v>384000</v>
      </c>
      <c r="S420" s="594"/>
      <c r="T420" s="39"/>
      <c r="U420" s="39"/>
      <c r="V420" s="39">
        <f t="shared" si="118"/>
        <v>0</v>
      </c>
      <c r="W420" s="39"/>
      <c r="X420" s="39">
        <f t="shared" si="119"/>
        <v>0</v>
      </c>
      <c r="Y420" s="39"/>
      <c r="Z420" s="40">
        <f t="shared" si="120"/>
        <v>0</v>
      </c>
      <c r="AE420" s="452"/>
      <c r="AN420" s="268"/>
      <c r="AO420" s="578"/>
      <c r="AP420" s="578"/>
      <c r="AQ420" s="578"/>
      <c r="AR420" s="578"/>
      <c r="AS420" s="578"/>
      <c r="AT420" s="578"/>
      <c r="AU420" s="578"/>
    </row>
    <row r="421" spans="1:47" ht="348.75" hidden="1" customHeight="1">
      <c r="A421" s="380"/>
      <c r="B421" s="984"/>
      <c r="C421" s="984"/>
      <c r="D421" s="984"/>
      <c r="E421" s="984"/>
      <c r="F421" s="984"/>
      <c r="G421" s="984"/>
      <c r="H421" s="984"/>
      <c r="I421" s="984"/>
      <c r="J421" s="1042"/>
      <c r="K421" s="1042"/>
      <c r="L421" s="1042"/>
      <c r="M421" s="601" t="s">
        <v>554</v>
      </c>
      <c r="N421" s="600">
        <v>67</v>
      </c>
      <c r="O421" s="594">
        <f>ROUND(S421/N421,2)</f>
        <v>6671.64</v>
      </c>
      <c r="P421" s="594">
        <v>447000</v>
      </c>
      <c r="Q421" s="594"/>
      <c r="R421" s="594"/>
      <c r="S421" s="594">
        <v>447000</v>
      </c>
      <c r="T421" s="39"/>
      <c r="U421" s="39"/>
      <c r="V421" s="39">
        <f t="shared" si="118"/>
        <v>0</v>
      </c>
      <c r="W421" s="39"/>
      <c r="X421" s="39">
        <f t="shared" si="119"/>
        <v>0</v>
      </c>
      <c r="Y421" s="39"/>
      <c r="Z421" s="40">
        <f t="shared" si="120"/>
        <v>0</v>
      </c>
      <c r="AE421" s="452"/>
      <c r="AN421" s="268"/>
      <c r="AO421" s="578"/>
      <c r="AP421" s="578"/>
      <c r="AQ421" s="578"/>
      <c r="AR421" s="578"/>
      <c r="AS421" s="578"/>
      <c r="AT421" s="578"/>
      <c r="AU421" s="578"/>
    </row>
    <row r="422" spans="1:47" ht="102" customHeight="1">
      <c r="A422" s="592" t="s">
        <v>555</v>
      </c>
      <c r="B422" s="984"/>
      <c r="C422" s="984"/>
      <c r="D422" s="984"/>
      <c r="E422" s="984"/>
      <c r="F422" s="984"/>
      <c r="G422" s="984"/>
      <c r="H422" s="984"/>
      <c r="I422" s="984"/>
      <c r="J422" s="594">
        <v>15000</v>
      </c>
      <c r="K422" s="594">
        <v>45000</v>
      </c>
      <c r="L422" s="595"/>
      <c r="M422" s="596" t="s">
        <v>556</v>
      </c>
      <c r="N422" s="600">
        <v>3</v>
      </c>
      <c r="O422" s="598">
        <v>12000</v>
      </c>
      <c r="P422" s="594">
        <f>N422*O422</f>
        <v>36000</v>
      </c>
      <c r="Q422" s="594">
        <f>P422</f>
        <v>36000</v>
      </c>
      <c r="R422" s="594">
        <f>Q422</f>
        <v>36000</v>
      </c>
      <c r="S422" s="594">
        <f>R422</f>
        <v>36000</v>
      </c>
      <c r="T422" s="39">
        <v>30000</v>
      </c>
      <c r="U422" s="39">
        <v>30000</v>
      </c>
      <c r="V422" s="39">
        <f t="shared" si="118"/>
        <v>30000</v>
      </c>
      <c r="W422" s="39">
        <v>18966</v>
      </c>
      <c r="X422" s="39">
        <f t="shared" si="119"/>
        <v>18966</v>
      </c>
      <c r="Y422" s="39">
        <f>W422</f>
        <v>18966</v>
      </c>
      <c r="Z422" s="40">
        <f t="shared" si="120"/>
        <v>18966</v>
      </c>
      <c r="AE422" s="452"/>
      <c r="AN422" s="268"/>
      <c r="AO422" s="578"/>
      <c r="AP422" s="578"/>
      <c r="AQ422" s="578"/>
      <c r="AR422" s="578"/>
      <c r="AS422" s="578"/>
      <c r="AT422" s="578"/>
      <c r="AU422" s="578"/>
    </row>
    <row r="423" spans="1:47" ht="93.75" customHeight="1">
      <c r="A423" s="592" t="s">
        <v>557</v>
      </c>
      <c r="B423" s="984"/>
      <c r="C423" s="984"/>
      <c r="D423" s="984"/>
      <c r="E423" s="984"/>
      <c r="F423" s="984"/>
      <c r="G423" s="984"/>
      <c r="H423" s="984"/>
      <c r="I423" s="984"/>
      <c r="J423" s="593">
        <v>87000</v>
      </c>
      <c r="K423" s="594">
        <v>60000</v>
      </c>
      <c r="L423" s="595"/>
      <c r="M423" s="602" t="s">
        <v>558</v>
      </c>
      <c r="N423" s="603">
        <v>3</v>
      </c>
      <c r="O423" s="604">
        <v>60000</v>
      </c>
      <c r="P423" s="605">
        <f>ROUND(N423*O423,0)</f>
        <v>180000</v>
      </c>
      <c r="Q423" s="605">
        <f>O423*N423</f>
        <v>180000</v>
      </c>
      <c r="R423" s="605">
        <f>O423*N423</f>
        <v>180000</v>
      </c>
      <c r="S423" s="605">
        <f>O423*N423</f>
        <v>180000</v>
      </c>
      <c r="T423" s="39">
        <v>180000</v>
      </c>
      <c r="U423" s="39">
        <v>43000</v>
      </c>
      <c r="V423" s="39">
        <f t="shared" si="118"/>
        <v>43000</v>
      </c>
      <c r="W423" s="39">
        <v>113796</v>
      </c>
      <c r="X423" s="39">
        <f t="shared" si="119"/>
        <v>113796</v>
      </c>
      <c r="Y423" s="39">
        <f>W423</f>
        <v>113796</v>
      </c>
      <c r="Z423" s="40">
        <f t="shared" si="120"/>
        <v>113796</v>
      </c>
      <c r="AE423" s="452"/>
      <c r="AN423" s="268"/>
      <c r="AO423" s="578"/>
      <c r="AP423" s="578"/>
      <c r="AQ423" s="578"/>
      <c r="AR423" s="578"/>
      <c r="AS423" s="578"/>
      <c r="AT423" s="578"/>
      <c r="AU423" s="578"/>
    </row>
    <row r="424" spans="1:47" ht="162.75" hidden="1" customHeight="1">
      <c r="A424" s="592" t="s">
        <v>559</v>
      </c>
      <c r="B424" s="380"/>
      <c r="C424" s="380"/>
      <c r="D424" s="380"/>
      <c r="E424" s="380"/>
      <c r="F424" s="380"/>
      <c r="G424" s="380"/>
      <c r="H424" s="380"/>
      <c r="I424" s="984"/>
      <c r="J424" s="1042"/>
      <c r="K424" s="1042"/>
      <c r="L424" s="1042"/>
      <c r="M424" s="595" t="s">
        <v>560</v>
      </c>
      <c r="N424" s="600">
        <v>1</v>
      </c>
      <c r="O424" s="594">
        <v>6500</v>
      </c>
      <c r="P424" s="594">
        <f t="shared" ref="P424:P452" si="121">ROUND(N424*O424,0)</f>
        <v>6500</v>
      </c>
      <c r="Q424" s="120">
        <v>6500</v>
      </c>
      <c r="R424" s="594"/>
      <c r="S424" s="594"/>
      <c r="T424" s="39"/>
      <c r="U424" s="39"/>
      <c r="V424" s="39">
        <f t="shared" si="118"/>
        <v>0</v>
      </c>
      <c r="W424" s="39"/>
      <c r="X424" s="39">
        <f t="shared" si="119"/>
        <v>0</v>
      </c>
      <c r="Y424" s="39"/>
      <c r="Z424" s="40">
        <f t="shared" si="120"/>
        <v>0</v>
      </c>
      <c r="AE424" s="452"/>
      <c r="AN424" s="268"/>
      <c r="AO424" s="578"/>
      <c r="AP424" s="578"/>
      <c r="AQ424" s="578"/>
      <c r="AR424" s="578"/>
      <c r="AS424" s="578"/>
      <c r="AT424" s="578"/>
      <c r="AU424" s="578"/>
    </row>
    <row r="425" spans="1:47" ht="307.5" customHeight="1">
      <c r="A425" s="592" t="s">
        <v>559</v>
      </c>
      <c r="B425" s="380"/>
      <c r="C425" s="380"/>
      <c r="D425" s="380"/>
      <c r="E425" s="380"/>
      <c r="F425" s="380"/>
      <c r="G425" s="380"/>
      <c r="H425" s="380"/>
      <c r="I425" s="984"/>
      <c r="J425" s="1042"/>
      <c r="K425" s="1042"/>
      <c r="L425" s="1042"/>
      <c r="M425" s="595" t="s">
        <v>561</v>
      </c>
      <c r="N425" s="600">
        <v>9</v>
      </c>
      <c r="O425" s="594">
        <v>14000</v>
      </c>
      <c r="P425" s="594">
        <f t="shared" si="121"/>
        <v>126000</v>
      </c>
      <c r="Q425" s="120">
        <v>28000</v>
      </c>
      <c r="R425" s="594"/>
      <c r="S425" s="594"/>
      <c r="T425" s="39">
        <v>28000</v>
      </c>
      <c r="U425" s="39">
        <v>64000</v>
      </c>
      <c r="V425" s="39">
        <f t="shared" si="118"/>
        <v>64000</v>
      </c>
      <c r="W425" s="39">
        <v>17702</v>
      </c>
      <c r="X425" s="39">
        <f t="shared" si="119"/>
        <v>17702</v>
      </c>
      <c r="Y425" s="39">
        <f>W425</f>
        <v>17702</v>
      </c>
      <c r="Z425" s="40">
        <f t="shared" si="120"/>
        <v>17702</v>
      </c>
      <c r="AE425" s="452"/>
      <c r="AN425" s="268"/>
      <c r="AO425" s="578"/>
      <c r="AP425" s="578"/>
      <c r="AQ425" s="578"/>
      <c r="AR425" s="578"/>
      <c r="AS425" s="578"/>
      <c r="AT425" s="578"/>
      <c r="AU425" s="578"/>
    </row>
    <row r="426" spans="1:47" ht="162.75" hidden="1" customHeight="1">
      <c r="A426" s="592"/>
      <c r="B426" s="380"/>
      <c r="C426" s="380"/>
      <c r="D426" s="380"/>
      <c r="E426" s="380"/>
      <c r="F426" s="380"/>
      <c r="G426" s="380"/>
      <c r="H426" s="380"/>
      <c r="I426" s="984"/>
      <c r="J426" s="1042"/>
      <c r="K426" s="1042"/>
      <c r="L426" s="1042"/>
      <c r="M426" s="595" t="s">
        <v>562</v>
      </c>
      <c r="N426" s="600">
        <v>11</v>
      </c>
      <c r="O426" s="594">
        <v>4000</v>
      </c>
      <c r="P426" s="594">
        <f t="shared" si="121"/>
        <v>44000</v>
      </c>
      <c r="Q426" s="120">
        <v>44000</v>
      </c>
      <c r="R426" s="594"/>
      <c r="S426" s="594"/>
      <c r="T426" s="39"/>
      <c r="U426" s="39"/>
      <c r="V426" s="39">
        <f t="shared" si="118"/>
        <v>0</v>
      </c>
      <c r="W426" s="39"/>
      <c r="X426" s="39">
        <f t="shared" si="119"/>
        <v>0</v>
      </c>
      <c r="Y426" s="39"/>
      <c r="Z426" s="40">
        <f t="shared" si="120"/>
        <v>0</v>
      </c>
      <c r="AE426" s="452"/>
      <c r="AN426" s="268"/>
      <c r="AO426" s="578"/>
      <c r="AP426" s="578"/>
      <c r="AQ426" s="578"/>
      <c r="AR426" s="578"/>
      <c r="AS426" s="578"/>
      <c r="AT426" s="578"/>
      <c r="AU426" s="578"/>
    </row>
    <row r="427" spans="1:47" ht="162.75" hidden="1" customHeight="1">
      <c r="A427" s="592"/>
      <c r="B427" s="380"/>
      <c r="C427" s="380"/>
      <c r="D427" s="380"/>
      <c r="E427" s="380"/>
      <c r="F427" s="380"/>
      <c r="G427" s="380"/>
      <c r="H427" s="380"/>
      <c r="I427" s="984"/>
      <c r="J427" s="1042"/>
      <c r="K427" s="1042"/>
      <c r="L427" s="1042"/>
      <c r="M427" s="595" t="s">
        <v>563</v>
      </c>
      <c r="N427" s="600">
        <v>1</v>
      </c>
      <c r="O427" s="594">
        <v>14000</v>
      </c>
      <c r="P427" s="594">
        <f t="shared" si="121"/>
        <v>14000</v>
      </c>
      <c r="Q427" s="120">
        <v>14000</v>
      </c>
      <c r="R427" s="594"/>
      <c r="S427" s="594"/>
      <c r="T427" s="39"/>
      <c r="U427" s="39"/>
      <c r="V427" s="39">
        <f t="shared" si="118"/>
        <v>0</v>
      </c>
      <c r="W427" s="39"/>
      <c r="X427" s="39">
        <f t="shared" si="119"/>
        <v>0</v>
      </c>
      <c r="Y427" s="39"/>
      <c r="Z427" s="40">
        <f t="shared" si="120"/>
        <v>0</v>
      </c>
      <c r="AE427" s="452"/>
      <c r="AN427" s="268"/>
      <c r="AO427" s="578"/>
      <c r="AP427" s="578"/>
      <c r="AQ427" s="578"/>
      <c r="AR427" s="578"/>
      <c r="AS427" s="578"/>
      <c r="AT427" s="578"/>
      <c r="AU427" s="578"/>
    </row>
    <row r="428" spans="1:47" ht="162.75" hidden="1" customHeight="1">
      <c r="A428" s="592"/>
      <c r="B428" s="380"/>
      <c r="C428" s="380"/>
      <c r="D428" s="380"/>
      <c r="E428" s="380"/>
      <c r="F428" s="380"/>
      <c r="G428" s="380"/>
      <c r="H428" s="380"/>
      <c r="I428" s="984"/>
      <c r="J428" s="1042"/>
      <c r="K428" s="1042"/>
      <c r="L428" s="1042"/>
      <c r="M428" s="595" t="s">
        <v>564</v>
      </c>
      <c r="N428" s="600">
        <v>1</v>
      </c>
      <c r="O428" s="594">
        <v>14000</v>
      </c>
      <c r="P428" s="594">
        <f t="shared" si="121"/>
        <v>14000</v>
      </c>
      <c r="Q428" s="120">
        <v>14000</v>
      </c>
      <c r="R428" s="594"/>
      <c r="S428" s="594"/>
      <c r="T428" s="39"/>
      <c r="U428" s="39"/>
      <c r="V428" s="39">
        <f t="shared" si="118"/>
        <v>0</v>
      </c>
      <c r="W428" s="39"/>
      <c r="X428" s="39">
        <f t="shared" si="119"/>
        <v>0</v>
      </c>
      <c r="Y428" s="39"/>
      <c r="Z428" s="40">
        <f t="shared" si="120"/>
        <v>0</v>
      </c>
      <c r="AE428" s="452"/>
      <c r="AN428" s="268"/>
      <c r="AO428" s="578"/>
      <c r="AP428" s="578"/>
      <c r="AQ428" s="578"/>
      <c r="AR428" s="578"/>
      <c r="AS428" s="578"/>
      <c r="AT428" s="578"/>
      <c r="AU428" s="578"/>
    </row>
    <row r="429" spans="1:47" ht="139.5" hidden="1" customHeight="1">
      <c r="A429" s="592"/>
      <c r="B429" s="380"/>
      <c r="C429" s="380"/>
      <c r="D429" s="380"/>
      <c r="E429" s="380"/>
      <c r="F429" s="380"/>
      <c r="G429" s="380"/>
      <c r="H429" s="380"/>
      <c r="I429" s="984"/>
      <c r="J429" s="1042"/>
      <c r="K429" s="1042"/>
      <c r="L429" s="1042"/>
      <c r="M429" s="595" t="s">
        <v>565</v>
      </c>
      <c r="N429" s="600">
        <v>1</v>
      </c>
      <c r="O429" s="594">
        <v>14000</v>
      </c>
      <c r="P429" s="594">
        <f t="shared" si="121"/>
        <v>14000</v>
      </c>
      <c r="Q429" s="120">
        <v>14000</v>
      </c>
      <c r="R429" s="594"/>
      <c r="S429" s="594"/>
      <c r="T429" s="39"/>
      <c r="U429" s="39"/>
      <c r="V429" s="39">
        <f t="shared" si="118"/>
        <v>0</v>
      </c>
      <c r="W429" s="39"/>
      <c r="X429" s="39">
        <f t="shared" si="119"/>
        <v>0</v>
      </c>
      <c r="Y429" s="39"/>
      <c r="Z429" s="40">
        <f t="shared" si="120"/>
        <v>0</v>
      </c>
      <c r="AE429" s="452"/>
      <c r="AN429" s="268"/>
      <c r="AO429" s="578"/>
      <c r="AP429" s="578"/>
      <c r="AQ429" s="578"/>
      <c r="AR429" s="578"/>
      <c r="AS429" s="578"/>
      <c r="AT429" s="578"/>
      <c r="AU429" s="578"/>
    </row>
    <row r="430" spans="1:47" ht="139.5" hidden="1" customHeight="1">
      <c r="A430" s="592"/>
      <c r="B430" s="380"/>
      <c r="C430" s="380"/>
      <c r="D430" s="380"/>
      <c r="E430" s="380"/>
      <c r="F430" s="380"/>
      <c r="G430" s="380"/>
      <c r="H430" s="380"/>
      <c r="I430" s="984"/>
      <c r="J430" s="1042"/>
      <c r="K430" s="1042"/>
      <c r="L430" s="1042"/>
      <c r="M430" s="595" t="s">
        <v>566</v>
      </c>
      <c r="N430" s="600">
        <v>16</v>
      </c>
      <c r="O430" s="594">
        <v>14000</v>
      </c>
      <c r="P430" s="594">
        <f t="shared" si="121"/>
        <v>224000</v>
      </c>
      <c r="Q430" s="120">
        <v>224000</v>
      </c>
      <c r="R430" s="594"/>
      <c r="S430" s="594"/>
      <c r="T430" s="39"/>
      <c r="U430" s="39"/>
      <c r="V430" s="39">
        <f t="shared" si="118"/>
        <v>0</v>
      </c>
      <c r="W430" s="39"/>
      <c r="X430" s="39">
        <f t="shared" si="119"/>
        <v>0</v>
      </c>
      <c r="Y430" s="39"/>
      <c r="Z430" s="40">
        <f t="shared" si="120"/>
        <v>0</v>
      </c>
      <c r="AE430" s="452"/>
      <c r="AN430" s="268"/>
      <c r="AO430" s="578"/>
      <c r="AP430" s="578"/>
      <c r="AQ430" s="578"/>
      <c r="AR430" s="578"/>
      <c r="AS430" s="578"/>
      <c r="AT430" s="578"/>
      <c r="AU430" s="578"/>
    </row>
    <row r="431" spans="1:47" ht="116.25" hidden="1" customHeight="1">
      <c r="A431" s="592"/>
      <c r="B431" s="380"/>
      <c r="C431" s="380"/>
      <c r="D431" s="380"/>
      <c r="E431" s="380"/>
      <c r="F431" s="380"/>
      <c r="G431" s="380"/>
      <c r="H431" s="380"/>
      <c r="I431" s="984"/>
      <c r="J431" s="1042"/>
      <c r="K431" s="1042"/>
      <c r="L431" s="1042"/>
      <c r="M431" s="595" t="s">
        <v>567</v>
      </c>
      <c r="N431" s="600">
        <v>1</v>
      </c>
      <c r="O431" s="594">
        <v>14000</v>
      </c>
      <c r="P431" s="594">
        <f t="shared" si="121"/>
        <v>14000</v>
      </c>
      <c r="Q431" s="120"/>
      <c r="R431" s="594">
        <v>14000</v>
      </c>
      <c r="S431" s="594"/>
      <c r="T431" s="39"/>
      <c r="U431" s="39"/>
      <c r="V431" s="39">
        <f t="shared" si="118"/>
        <v>0</v>
      </c>
      <c r="W431" s="39"/>
      <c r="X431" s="39">
        <f t="shared" si="119"/>
        <v>0</v>
      </c>
      <c r="Y431" s="39"/>
      <c r="Z431" s="40">
        <f t="shared" si="120"/>
        <v>0</v>
      </c>
      <c r="AE431" s="452"/>
      <c r="AN431" s="268"/>
      <c r="AO431" s="578"/>
      <c r="AP431" s="578"/>
      <c r="AQ431" s="578"/>
      <c r="AR431" s="578"/>
      <c r="AS431" s="578"/>
      <c r="AT431" s="578"/>
      <c r="AU431" s="578"/>
    </row>
    <row r="432" spans="1:47" ht="162.75" hidden="1" customHeight="1">
      <c r="A432" s="592"/>
      <c r="B432" s="380"/>
      <c r="C432" s="380"/>
      <c r="D432" s="380"/>
      <c r="E432" s="380"/>
      <c r="F432" s="380"/>
      <c r="G432" s="380"/>
      <c r="H432" s="380"/>
      <c r="I432" s="984"/>
      <c r="J432" s="1042"/>
      <c r="K432" s="1042"/>
      <c r="L432" s="1042"/>
      <c r="M432" s="595" t="s">
        <v>568</v>
      </c>
      <c r="N432" s="600">
        <v>2</v>
      </c>
      <c r="O432" s="594">
        <v>20000</v>
      </c>
      <c r="P432" s="594">
        <f t="shared" si="121"/>
        <v>40000</v>
      </c>
      <c r="Q432" s="120"/>
      <c r="R432" s="594">
        <v>40000</v>
      </c>
      <c r="S432" s="594"/>
      <c r="T432" s="39"/>
      <c r="U432" s="39"/>
      <c r="V432" s="39">
        <f t="shared" si="118"/>
        <v>0</v>
      </c>
      <c r="W432" s="39"/>
      <c r="X432" s="39">
        <f t="shared" si="119"/>
        <v>0</v>
      </c>
      <c r="Y432" s="39"/>
      <c r="Z432" s="40">
        <f t="shared" si="120"/>
        <v>0</v>
      </c>
      <c r="AE432" s="452"/>
      <c r="AN432" s="268"/>
      <c r="AO432" s="578"/>
      <c r="AP432" s="578"/>
      <c r="AQ432" s="578"/>
      <c r="AR432" s="578"/>
      <c r="AS432" s="578"/>
      <c r="AT432" s="578"/>
      <c r="AU432" s="578"/>
    </row>
    <row r="433" spans="1:47" ht="139.5" hidden="1" customHeight="1">
      <c r="A433" s="592"/>
      <c r="B433" s="380"/>
      <c r="C433" s="380"/>
      <c r="D433" s="380"/>
      <c r="E433" s="380"/>
      <c r="F433" s="380"/>
      <c r="G433" s="380"/>
      <c r="H433" s="380"/>
      <c r="I433" s="984"/>
      <c r="J433" s="1042"/>
      <c r="K433" s="1042"/>
      <c r="L433" s="1042"/>
      <c r="M433" s="595" t="s">
        <v>569</v>
      </c>
      <c r="N433" s="600">
        <v>1</v>
      </c>
      <c r="O433" s="594">
        <v>20000</v>
      </c>
      <c r="P433" s="594">
        <f t="shared" si="121"/>
        <v>20000</v>
      </c>
      <c r="Q433" s="120"/>
      <c r="R433" s="594">
        <v>20000</v>
      </c>
      <c r="S433" s="594"/>
      <c r="T433" s="39"/>
      <c r="U433" s="39"/>
      <c r="V433" s="39">
        <f t="shared" si="118"/>
        <v>0</v>
      </c>
      <c r="W433" s="39"/>
      <c r="X433" s="39">
        <f t="shared" si="119"/>
        <v>0</v>
      </c>
      <c r="Y433" s="39"/>
      <c r="Z433" s="40">
        <f t="shared" si="120"/>
        <v>0</v>
      </c>
      <c r="AE433" s="452"/>
      <c r="AN433" s="268"/>
      <c r="AO433" s="578"/>
      <c r="AP433" s="578"/>
      <c r="AQ433" s="578"/>
      <c r="AR433" s="578"/>
      <c r="AS433" s="578"/>
      <c r="AT433" s="578"/>
      <c r="AU433" s="578"/>
    </row>
    <row r="434" spans="1:47" ht="116.25" hidden="1" customHeight="1">
      <c r="A434" s="592"/>
      <c r="B434" s="380"/>
      <c r="C434" s="380"/>
      <c r="D434" s="380"/>
      <c r="E434" s="380"/>
      <c r="F434" s="380"/>
      <c r="G434" s="380"/>
      <c r="H434" s="380"/>
      <c r="I434" s="984"/>
      <c r="J434" s="1042"/>
      <c r="K434" s="1042"/>
      <c r="L434" s="1042"/>
      <c r="M434" s="595" t="s">
        <v>570</v>
      </c>
      <c r="N434" s="600">
        <v>1</v>
      </c>
      <c r="O434" s="594">
        <v>8000</v>
      </c>
      <c r="P434" s="594">
        <f t="shared" si="121"/>
        <v>8000</v>
      </c>
      <c r="Q434" s="120"/>
      <c r="R434" s="594">
        <v>8000</v>
      </c>
      <c r="S434" s="594"/>
      <c r="T434" s="39"/>
      <c r="U434" s="39"/>
      <c r="V434" s="39">
        <f t="shared" si="118"/>
        <v>0</v>
      </c>
      <c r="W434" s="39"/>
      <c r="X434" s="39">
        <f t="shared" si="119"/>
        <v>0</v>
      </c>
      <c r="Y434" s="39"/>
      <c r="Z434" s="40">
        <f t="shared" si="120"/>
        <v>0</v>
      </c>
      <c r="AE434" s="452"/>
      <c r="AN434" s="268"/>
      <c r="AO434" s="578"/>
      <c r="AP434" s="578"/>
      <c r="AQ434" s="578"/>
      <c r="AR434" s="578"/>
      <c r="AS434" s="578"/>
      <c r="AT434" s="578"/>
      <c r="AU434" s="578"/>
    </row>
    <row r="435" spans="1:47" ht="139.5" hidden="1" customHeight="1">
      <c r="A435" s="592"/>
      <c r="B435" s="380"/>
      <c r="C435" s="380"/>
      <c r="D435" s="380"/>
      <c r="E435" s="380"/>
      <c r="F435" s="380"/>
      <c r="G435" s="380"/>
      <c r="H435" s="380"/>
      <c r="I435" s="984"/>
      <c r="J435" s="1042"/>
      <c r="K435" s="1042"/>
      <c r="L435" s="1042"/>
      <c r="M435" s="595" t="s">
        <v>571</v>
      </c>
      <c r="N435" s="600">
        <v>1</v>
      </c>
      <c r="O435" s="594">
        <v>17600</v>
      </c>
      <c r="P435" s="594">
        <f t="shared" si="121"/>
        <v>17600</v>
      </c>
      <c r="Q435" s="120"/>
      <c r="R435" s="594">
        <v>17600</v>
      </c>
      <c r="S435" s="594"/>
      <c r="T435" s="39"/>
      <c r="U435" s="39"/>
      <c r="V435" s="39">
        <f t="shared" si="118"/>
        <v>0</v>
      </c>
      <c r="W435" s="39"/>
      <c r="X435" s="39">
        <f t="shared" si="119"/>
        <v>0</v>
      </c>
      <c r="Y435" s="39"/>
      <c r="Z435" s="40">
        <f t="shared" si="120"/>
        <v>0</v>
      </c>
      <c r="AE435" s="452"/>
      <c r="AN435" s="268"/>
      <c r="AO435" s="578"/>
      <c r="AP435" s="578"/>
      <c r="AQ435" s="578"/>
      <c r="AR435" s="578"/>
      <c r="AS435" s="578"/>
      <c r="AT435" s="578"/>
      <c r="AU435" s="578"/>
    </row>
    <row r="436" spans="1:47" ht="162.75" hidden="1" customHeight="1">
      <c r="A436" s="592"/>
      <c r="B436" s="380"/>
      <c r="C436" s="380"/>
      <c r="D436" s="380"/>
      <c r="E436" s="380"/>
      <c r="F436" s="380"/>
      <c r="G436" s="380"/>
      <c r="H436" s="380"/>
      <c r="I436" s="984"/>
      <c r="J436" s="1042"/>
      <c r="K436" s="1042"/>
      <c r="L436" s="1042"/>
      <c r="M436" s="595" t="s">
        <v>572</v>
      </c>
      <c r="N436" s="600">
        <v>5</v>
      </c>
      <c r="O436" s="594">
        <v>20000</v>
      </c>
      <c r="P436" s="594">
        <f t="shared" si="121"/>
        <v>100000</v>
      </c>
      <c r="Q436" s="120"/>
      <c r="R436" s="594">
        <v>100000</v>
      </c>
      <c r="S436" s="594"/>
      <c r="T436" s="39"/>
      <c r="U436" s="39"/>
      <c r="V436" s="39">
        <f t="shared" si="118"/>
        <v>0</v>
      </c>
      <c r="W436" s="39"/>
      <c r="X436" s="39">
        <f t="shared" si="119"/>
        <v>0</v>
      </c>
      <c r="Y436" s="39"/>
      <c r="Z436" s="40">
        <f t="shared" si="120"/>
        <v>0</v>
      </c>
      <c r="AE436" s="452"/>
      <c r="AN436" s="268"/>
      <c r="AO436" s="578"/>
      <c r="AP436" s="578"/>
      <c r="AQ436" s="578"/>
      <c r="AR436" s="578"/>
      <c r="AS436" s="578"/>
      <c r="AT436" s="578"/>
      <c r="AU436" s="578"/>
    </row>
    <row r="437" spans="1:47" ht="209.25" hidden="1" customHeight="1">
      <c r="A437" s="592"/>
      <c r="B437" s="380"/>
      <c r="C437" s="380"/>
      <c r="D437" s="380"/>
      <c r="E437" s="380"/>
      <c r="F437" s="380"/>
      <c r="G437" s="380"/>
      <c r="H437" s="380"/>
      <c r="I437" s="984"/>
      <c r="J437" s="1042"/>
      <c r="K437" s="1042"/>
      <c r="L437" s="1042"/>
      <c r="M437" s="595" t="s">
        <v>573</v>
      </c>
      <c r="N437" s="600">
        <v>1</v>
      </c>
      <c r="O437" s="594">
        <v>3000</v>
      </c>
      <c r="P437" s="594">
        <f t="shared" si="121"/>
        <v>3000</v>
      </c>
      <c r="Q437" s="120"/>
      <c r="R437" s="594">
        <v>3000</v>
      </c>
      <c r="S437" s="594"/>
      <c r="T437" s="39"/>
      <c r="U437" s="39"/>
      <c r="V437" s="39">
        <f t="shared" si="118"/>
        <v>0</v>
      </c>
      <c r="W437" s="39"/>
      <c r="X437" s="39">
        <f t="shared" si="119"/>
        <v>0</v>
      </c>
      <c r="Y437" s="39"/>
      <c r="Z437" s="40">
        <f t="shared" si="120"/>
        <v>0</v>
      </c>
      <c r="AE437" s="452"/>
      <c r="AN437" s="268"/>
      <c r="AO437" s="578"/>
      <c r="AP437" s="578"/>
      <c r="AQ437" s="578"/>
      <c r="AR437" s="578"/>
      <c r="AS437" s="578"/>
      <c r="AT437" s="578"/>
      <c r="AU437" s="578"/>
    </row>
    <row r="438" spans="1:47" ht="162.75" hidden="1" customHeight="1">
      <c r="A438" s="592"/>
      <c r="B438" s="380"/>
      <c r="C438" s="380"/>
      <c r="D438" s="380"/>
      <c r="E438" s="380"/>
      <c r="F438" s="380"/>
      <c r="G438" s="380"/>
      <c r="H438" s="380"/>
      <c r="I438" s="984"/>
      <c r="J438" s="1042"/>
      <c r="K438" s="1042"/>
      <c r="L438" s="1042"/>
      <c r="M438" s="595" t="s">
        <v>574</v>
      </c>
      <c r="N438" s="600">
        <v>1</v>
      </c>
      <c r="O438" s="594">
        <v>24000</v>
      </c>
      <c r="P438" s="594">
        <f t="shared" si="121"/>
        <v>24000</v>
      </c>
      <c r="Q438" s="120"/>
      <c r="R438" s="594"/>
      <c r="S438" s="594">
        <v>24000</v>
      </c>
      <c r="T438" s="39"/>
      <c r="U438" s="39"/>
      <c r="V438" s="39">
        <f t="shared" si="118"/>
        <v>0</v>
      </c>
      <c r="W438" s="39"/>
      <c r="X438" s="39">
        <f t="shared" si="119"/>
        <v>0</v>
      </c>
      <c r="Y438" s="39"/>
      <c r="Z438" s="40">
        <f t="shared" si="120"/>
        <v>0</v>
      </c>
      <c r="AE438" s="452"/>
      <c r="AN438" s="268"/>
      <c r="AO438" s="578"/>
      <c r="AP438" s="578"/>
      <c r="AQ438" s="578"/>
      <c r="AR438" s="578"/>
      <c r="AS438" s="578"/>
      <c r="AT438" s="578"/>
      <c r="AU438" s="578"/>
    </row>
    <row r="439" spans="1:47" ht="186" hidden="1" customHeight="1">
      <c r="A439" s="592"/>
      <c r="B439" s="380"/>
      <c r="C439" s="380"/>
      <c r="D439" s="380"/>
      <c r="E439" s="380"/>
      <c r="F439" s="380"/>
      <c r="G439" s="380"/>
      <c r="H439" s="380"/>
      <c r="I439" s="984"/>
      <c r="J439" s="1042"/>
      <c r="K439" s="1042"/>
      <c r="L439" s="1042"/>
      <c r="M439" s="595" t="s">
        <v>575</v>
      </c>
      <c r="N439" s="600">
        <v>2</v>
      </c>
      <c r="O439" s="594">
        <v>8000</v>
      </c>
      <c r="P439" s="594">
        <f t="shared" si="121"/>
        <v>16000</v>
      </c>
      <c r="Q439" s="120"/>
      <c r="R439" s="594"/>
      <c r="S439" s="594">
        <v>16000</v>
      </c>
      <c r="T439" s="39"/>
      <c r="U439" s="39"/>
      <c r="V439" s="39">
        <f t="shared" si="118"/>
        <v>0</v>
      </c>
      <c r="W439" s="39"/>
      <c r="X439" s="39">
        <f t="shared" si="119"/>
        <v>0</v>
      </c>
      <c r="Y439" s="39"/>
      <c r="Z439" s="40">
        <f t="shared" si="120"/>
        <v>0</v>
      </c>
      <c r="AE439" s="452"/>
      <c r="AN439" s="268"/>
      <c r="AO439" s="578"/>
      <c r="AP439" s="578"/>
      <c r="AQ439" s="578"/>
      <c r="AR439" s="578"/>
      <c r="AS439" s="578"/>
      <c r="AT439" s="578"/>
      <c r="AU439" s="578"/>
    </row>
    <row r="440" spans="1:47" ht="162.75" hidden="1" customHeight="1">
      <c r="A440" s="592"/>
      <c r="B440" s="380"/>
      <c r="C440" s="380"/>
      <c r="D440" s="380"/>
      <c r="E440" s="380"/>
      <c r="F440" s="380"/>
      <c r="G440" s="380"/>
      <c r="H440" s="380"/>
      <c r="I440" s="984"/>
      <c r="J440" s="1042"/>
      <c r="K440" s="1042"/>
      <c r="L440" s="1042"/>
      <c r="M440" s="595" t="s">
        <v>576</v>
      </c>
      <c r="N440" s="600">
        <v>1</v>
      </c>
      <c r="O440" s="594">
        <v>20000</v>
      </c>
      <c r="P440" s="594">
        <f t="shared" si="121"/>
        <v>20000</v>
      </c>
      <c r="Q440" s="120"/>
      <c r="R440" s="594"/>
      <c r="S440" s="594">
        <v>20000</v>
      </c>
      <c r="T440" s="39"/>
      <c r="U440" s="39"/>
      <c r="V440" s="39">
        <f t="shared" si="118"/>
        <v>0</v>
      </c>
      <c r="W440" s="39"/>
      <c r="X440" s="39">
        <f t="shared" si="119"/>
        <v>0</v>
      </c>
      <c r="Y440" s="39"/>
      <c r="Z440" s="40">
        <f t="shared" si="120"/>
        <v>0</v>
      </c>
      <c r="AE440" s="452"/>
      <c r="AN440" s="268"/>
      <c r="AO440" s="578"/>
      <c r="AP440" s="578"/>
      <c r="AQ440" s="578"/>
      <c r="AR440" s="578"/>
      <c r="AS440" s="578"/>
      <c r="AT440" s="578"/>
      <c r="AU440" s="578"/>
    </row>
    <row r="441" spans="1:47" ht="116.25" hidden="1" customHeight="1">
      <c r="A441" s="592"/>
      <c r="B441" s="380"/>
      <c r="C441" s="380"/>
      <c r="D441" s="380"/>
      <c r="E441" s="380"/>
      <c r="F441" s="380"/>
      <c r="G441" s="380"/>
      <c r="H441" s="380"/>
      <c r="I441" s="984"/>
      <c r="J441" s="1042"/>
      <c r="K441" s="1042"/>
      <c r="L441" s="1042"/>
      <c r="M441" s="595" t="s">
        <v>577</v>
      </c>
      <c r="N441" s="600">
        <v>1</v>
      </c>
      <c r="O441" s="594">
        <v>5000</v>
      </c>
      <c r="P441" s="594">
        <f t="shared" si="121"/>
        <v>5000</v>
      </c>
      <c r="Q441" s="120"/>
      <c r="R441" s="594"/>
      <c r="S441" s="594">
        <v>5000</v>
      </c>
      <c r="T441" s="39"/>
      <c r="U441" s="39"/>
      <c r="V441" s="39">
        <f t="shared" si="118"/>
        <v>0</v>
      </c>
      <c r="W441" s="39"/>
      <c r="X441" s="39">
        <f t="shared" si="119"/>
        <v>0</v>
      </c>
      <c r="Y441" s="39"/>
      <c r="Z441" s="40">
        <f t="shared" si="120"/>
        <v>0</v>
      </c>
      <c r="AE441" s="452"/>
      <c r="AN441" s="268"/>
      <c r="AO441" s="578"/>
      <c r="AP441" s="578"/>
      <c r="AQ441" s="578"/>
      <c r="AR441" s="578"/>
      <c r="AS441" s="578"/>
      <c r="AT441" s="578"/>
      <c r="AU441" s="578"/>
    </row>
    <row r="442" spans="1:47" ht="186" hidden="1" customHeight="1">
      <c r="A442" s="592"/>
      <c r="B442" s="380"/>
      <c r="C442" s="380"/>
      <c r="D442" s="380"/>
      <c r="E442" s="380"/>
      <c r="F442" s="380"/>
      <c r="G442" s="380"/>
      <c r="H442" s="380"/>
      <c r="I442" s="984"/>
      <c r="J442" s="1042"/>
      <c r="K442" s="1042"/>
      <c r="L442" s="1042"/>
      <c r="M442" s="595" t="s">
        <v>578</v>
      </c>
      <c r="N442" s="600">
        <v>5</v>
      </c>
      <c r="O442" s="594">
        <v>12400</v>
      </c>
      <c r="P442" s="594">
        <f t="shared" si="121"/>
        <v>62000</v>
      </c>
      <c r="Q442" s="120"/>
      <c r="R442" s="594"/>
      <c r="S442" s="594">
        <v>62000</v>
      </c>
      <c r="T442" s="39"/>
      <c r="U442" s="39"/>
      <c r="V442" s="39">
        <f t="shared" si="118"/>
        <v>0</v>
      </c>
      <c r="W442" s="39"/>
      <c r="X442" s="39">
        <f t="shared" si="119"/>
        <v>0</v>
      </c>
      <c r="Y442" s="39"/>
      <c r="Z442" s="40">
        <f t="shared" si="120"/>
        <v>0</v>
      </c>
      <c r="AE442" s="452"/>
      <c r="AN442" s="268"/>
      <c r="AO442" s="578"/>
      <c r="AP442" s="578"/>
      <c r="AQ442" s="578"/>
      <c r="AR442" s="578"/>
      <c r="AS442" s="578"/>
      <c r="AT442" s="578"/>
      <c r="AU442" s="578"/>
    </row>
    <row r="443" spans="1:47" ht="162.75" hidden="1" customHeight="1">
      <c r="A443" s="592"/>
      <c r="B443" s="380"/>
      <c r="C443" s="380"/>
      <c r="D443" s="380"/>
      <c r="E443" s="380"/>
      <c r="F443" s="380"/>
      <c r="G443" s="380"/>
      <c r="H443" s="380"/>
      <c r="I443" s="984"/>
      <c r="J443" s="1042"/>
      <c r="K443" s="1042"/>
      <c r="L443" s="1042"/>
      <c r="M443" s="595" t="s">
        <v>579</v>
      </c>
      <c r="N443" s="600">
        <v>1</v>
      </c>
      <c r="O443" s="594">
        <v>20000</v>
      </c>
      <c r="P443" s="594">
        <f t="shared" si="121"/>
        <v>20000</v>
      </c>
      <c r="Q443" s="120"/>
      <c r="R443" s="594"/>
      <c r="S443" s="594">
        <v>20000</v>
      </c>
      <c r="T443" s="39"/>
      <c r="U443" s="39"/>
      <c r="V443" s="39">
        <f t="shared" si="118"/>
        <v>0</v>
      </c>
      <c r="W443" s="39"/>
      <c r="X443" s="39">
        <f t="shared" si="119"/>
        <v>0</v>
      </c>
      <c r="Y443" s="39"/>
      <c r="Z443" s="40">
        <f t="shared" si="120"/>
        <v>0</v>
      </c>
      <c r="AE443" s="452"/>
      <c r="AN443" s="268"/>
      <c r="AO443" s="578"/>
      <c r="AP443" s="578"/>
      <c r="AQ443" s="578"/>
      <c r="AR443" s="578"/>
      <c r="AS443" s="578"/>
      <c r="AT443" s="578"/>
      <c r="AU443" s="578"/>
    </row>
    <row r="444" spans="1:47" ht="139.5" hidden="1" customHeight="1">
      <c r="A444" s="592"/>
      <c r="B444" s="380"/>
      <c r="C444" s="380"/>
      <c r="D444" s="380"/>
      <c r="E444" s="380"/>
      <c r="F444" s="380"/>
      <c r="G444" s="380"/>
      <c r="H444" s="380"/>
      <c r="I444" s="984"/>
      <c r="J444" s="1042"/>
      <c r="K444" s="1042"/>
      <c r="L444" s="1042"/>
      <c r="M444" s="595" t="s">
        <v>580</v>
      </c>
      <c r="N444" s="600">
        <v>3</v>
      </c>
      <c r="O444" s="594">
        <v>14000</v>
      </c>
      <c r="P444" s="594">
        <f t="shared" si="121"/>
        <v>42000</v>
      </c>
      <c r="Q444" s="120"/>
      <c r="R444" s="594"/>
      <c r="S444" s="594">
        <v>42000</v>
      </c>
      <c r="T444" s="39"/>
      <c r="U444" s="39"/>
      <c r="V444" s="39">
        <f t="shared" si="118"/>
        <v>0</v>
      </c>
      <c r="W444" s="39"/>
      <c r="X444" s="39">
        <f t="shared" si="119"/>
        <v>0</v>
      </c>
      <c r="Y444" s="39"/>
      <c r="Z444" s="40">
        <f t="shared" si="120"/>
        <v>0</v>
      </c>
      <c r="AE444" s="452"/>
      <c r="AN444" s="268"/>
      <c r="AO444" s="578"/>
      <c r="AP444" s="578"/>
      <c r="AQ444" s="578"/>
      <c r="AR444" s="578"/>
      <c r="AS444" s="578"/>
      <c r="AT444" s="578"/>
      <c r="AU444" s="578"/>
    </row>
    <row r="445" spans="1:47" ht="162.75" hidden="1" customHeight="1">
      <c r="A445" s="592"/>
      <c r="B445" s="380"/>
      <c r="C445" s="380"/>
      <c r="D445" s="380"/>
      <c r="E445" s="380"/>
      <c r="F445" s="380"/>
      <c r="G445" s="380"/>
      <c r="H445" s="380"/>
      <c r="I445" s="984"/>
      <c r="J445" s="1042"/>
      <c r="K445" s="1042"/>
      <c r="L445" s="1042"/>
      <c r="M445" s="595" t="s">
        <v>581</v>
      </c>
      <c r="N445" s="600">
        <v>4</v>
      </c>
      <c r="O445" s="594">
        <v>6400</v>
      </c>
      <c r="P445" s="594">
        <f t="shared" si="121"/>
        <v>25600</v>
      </c>
      <c r="Q445" s="120"/>
      <c r="R445" s="594"/>
      <c r="S445" s="594">
        <v>25600</v>
      </c>
      <c r="T445" s="39"/>
      <c r="U445" s="39"/>
      <c r="V445" s="39">
        <f t="shared" si="118"/>
        <v>0</v>
      </c>
      <c r="W445" s="39"/>
      <c r="X445" s="39">
        <f t="shared" si="119"/>
        <v>0</v>
      </c>
      <c r="Y445" s="39"/>
      <c r="Z445" s="40">
        <f t="shared" si="120"/>
        <v>0</v>
      </c>
      <c r="AE445" s="452"/>
      <c r="AN445" s="268"/>
      <c r="AO445" s="578"/>
      <c r="AP445" s="578"/>
      <c r="AQ445" s="578"/>
      <c r="AR445" s="578"/>
      <c r="AS445" s="578"/>
      <c r="AT445" s="578"/>
      <c r="AU445" s="578"/>
    </row>
    <row r="446" spans="1:47" ht="139.5" hidden="1" customHeight="1">
      <c r="A446" s="592"/>
      <c r="B446" s="380"/>
      <c r="C446" s="380"/>
      <c r="D446" s="380"/>
      <c r="E446" s="380"/>
      <c r="F446" s="380"/>
      <c r="G446" s="380"/>
      <c r="H446" s="380"/>
      <c r="I446" s="984"/>
      <c r="J446" s="1042"/>
      <c r="K446" s="1042"/>
      <c r="L446" s="1042"/>
      <c r="M446" s="595" t="s">
        <v>582</v>
      </c>
      <c r="N446" s="600">
        <v>1</v>
      </c>
      <c r="O446" s="594">
        <v>8000</v>
      </c>
      <c r="P446" s="594">
        <f t="shared" si="121"/>
        <v>8000</v>
      </c>
      <c r="Q446" s="120"/>
      <c r="R446" s="594"/>
      <c r="S446" s="594">
        <v>8000</v>
      </c>
      <c r="T446" s="39"/>
      <c r="U446" s="39"/>
      <c r="V446" s="39">
        <f t="shared" si="118"/>
        <v>0</v>
      </c>
      <c r="W446" s="39"/>
      <c r="X446" s="39">
        <f t="shared" si="119"/>
        <v>0</v>
      </c>
      <c r="Y446" s="39"/>
      <c r="Z446" s="40">
        <f t="shared" si="120"/>
        <v>0</v>
      </c>
      <c r="AE446" s="452"/>
      <c r="AN446" s="268"/>
      <c r="AO446" s="578"/>
      <c r="AP446" s="578"/>
      <c r="AQ446" s="578"/>
      <c r="AR446" s="578"/>
      <c r="AS446" s="578"/>
      <c r="AT446" s="578"/>
      <c r="AU446" s="578"/>
    </row>
    <row r="447" spans="1:47" ht="139.5" hidden="1" customHeight="1">
      <c r="A447" s="592"/>
      <c r="B447" s="380"/>
      <c r="C447" s="380"/>
      <c r="D447" s="380"/>
      <c r="E447" s="380"/>
      <c r="F447" s="380"/>
      <c r="G447" s="380"/>
      <c r="H447" s="380"/>
      <c r="I447" s="984"/>
      <c r="J447" s="1042"/>
      <c r="K447" s="1042"/>
      <c r="L447" s="1042"/>
      <c r="M447" s="595" t="s">
        <v>583</v>
      </c>
      <c r="N447" s="600">
        <v>1</v>
      </c>
      <c r="O447" s="594">
        <v>6400</v>
      </c>
      <c r="P447" s="594">
        <f t="shared" si="121"/>
        <v>6400</v>
      </c>
      <c r="Q447" s="120"/>
      <c r="R447" s="594"/>
      <c r="S447" s="594">
        <v>6400</v>
      </c>
      <c r="T447" s="39"/>
      <c r="U447" s="39"/>
      <c r="V447" s="39">
        <f t="shared" si="118"/>
        <v>0</v>
      </c>
      <c r="W447" s="39"/>
      <c r="X447" s="39">
        <f t="shared" si="119"/>
        <v>0</v>
      </c>
      <c r="Y447" s="39"/>
      <c r="Z447" s="40">
        <f t="shared" si="120"/>
        <v>0</v>
      </c>
      <c r="AE447" s="452"/>
      <c r="AN447" s="268"/>
      <c r="AO447" s="578"/>
      <c r="AP447" s="578"/>
      <c r="AQ447" s="578"/>
      <c r="AR447" s="578"/>
      <c r="AS447" s="578"/>
      <c r="AT447" s="578"/>
      <c r="AU447" s="578"/>
    </row>
    <row r="448" spans="1:47" ht="162.75" hidden="1" customHeight="1">
      <c r="A448" s="592"/>
      <c r="B448" s="380"/>
      <c r="C448" s="380"/>
      <c r="D448" s="380"/>
      <c r="E448" s="380"/>
      <c r="F448" s="380"/>
      <c r="G448" s="380"/>
      <c r="H448" s="380"/>
      <c r="I448" s="984"/>
      <c r="J448" s="1042"/>
      <c r="K448" s="1042"/>
      <c r="L448" s="1042"/>
      <c r="M448" s="595" t="s">
        <v>584</v>
      </c>
      <c r="N448" s="600">
        <v>1</v>
      </c>
      <c r="O448" s="594">
        <v>6400</v>
      </c>
      <c r="P448" s="594">
        <f t="shared" si="121"/>
        <v>6400</v>
      </c>
      <c r="Q448" s="120"/>
      <c r="R448" s="594"/>
      <c r="S448" s="594">
        <v>6400</v>
      </c>
      <c r="T448" s="39"/>
      <c r="U448" s="39"/>
      <c r="V448" s="39">
        <f t="shared" si="118"/>
        <v>0</v>
      </c>
      <c r="W448" s="39"/>
      <c r="X448" s="39">
        <f t="shared" si="119"/>
        <v>0</v>
      </c>
      <c r="Y448" s="39"/>
      <c r="Z448" s="40">
        <f t="shared" si="120"/>
        <v>0</v>
      </c>
      <c r="AE448" s="452"/>
      <c r="AN448" s="268"/>
      <c r="AO448" s="578"/>
      <c r="AP448" s="578"/>
      <c r="AQ448" s="578"/>
      <c r="AR448" s="578"/>
      <c r="AS448" s="578"/>
      <c r="AT448" s="578"/>
      <c r="AU448" s="578"/>
    </row>
    <row r="449" spans="1:47" ht="139.5" hidden="1" customHeight="1">
      <c r="A449" s="592"/>
      <c r="B449" s="380"/>
      <c r="C449" s="380"/>
      <c r="D449" s="380"/>
      <c r="E449" s="380"/>
      <c r="F449" s="380"/>
      <c r="G449" s="380"/>
      <c r="H449" s="380"/>
      <c r="I449" s="984"/>
      <c r="J449" s="1042"/>
      <c r="K449" s="1042"/>
      <c r="L449" s="1042"/>
      <c r="M449" s="595" t="s">
        <v>585</v>
      </c>
      <c r="N449" s="600">
        <v>2</v>
      </c>
      <c r="O449" s="594">
        <v>6400</v>
      </c>
      <c r="P449" s="594">
        <f t="shared" si="121"/>
        <v>12800</v>
      </c>
      <c r="Q449" s="120"/>
      <c r="R449" s="594"/>
      <c r="S449" s="594">
        <v>12800</v>
      </c>
      <c r="T449" s="39"/>
      <c r="U449" s="39"/>
      <c r="V449" s="39">
        <f t="shared" si="118"/>
        <v>0</v>
      </c>
      <c r="W449" s="39"/>
      <c r="X449" s="39">
        <f t="shared" si="119"/>
        <v>0</v>
      </c>
      <c r="Y449" s="39"/>
      <c r="Z449" s="40">
        <f t="shared" si="120"/>
        <v>0</v>
      </c>
      <c r="AE449" s="452"/>
      <c r="AN449" s="268"/>
      <c r="AO449" s="578"/>
      <c r="AP449" s="578"/>
      <c r="AQ449" s="578"/>
      <c r="AR449" s="578"/>
      <c r="AS449" s="578"/>
      <c r="AT449" s="578"/>
      <c r="AU449" s="578"/>
    </row>
    <row r="450" spans="1:47" ht="116.25" hidden="1" customHeight="1">
      <c r="A450" s="592"/>
      <c r="B450" s="380"/>
      <c r="C450" s="380"/>
      <c r="D450" s="380"/>
      <c r="E450" s="380"/>
      <c r="F450" s="380"/>
      <c r="G450" s="380"/>
      <c r="H450" s="380"/>
      <c r="I450" s="984"/>
      <c r="J450" s="1042"/>
      <c r="K450" s="1042"/>
      <c r="L450" s="1042"/>
      <c r="M450" s="595" t="s">
        <v>586</v>
      </c>
      <c r="N450" s="600">
        <v>1</v>
      </c>
      <c r="O450" s="594">
        <v>8000</v>
      </c>
      <c r="P450" s="594">
        <f t="shared" si="121"/>
        <v>8000</v>
      </c>
      <c r="Q450" s="120"/>
      <c r="R450" s="594"/>
      <c r="S450" s="594">
        <v>8000</v>
      </c>
      <c r="T450" s="39"/>
      <c r="U450" s="39"/>
      <c r="V450" s="39">
        <f t="shared" si="118"/>
        <v>0</v>
      </c>
      <c r="W450" s="39"/>
      <c r="X450" s="39">
        <f t="shared" si="119"/>
        <v>0</v>
      </c>
      <c r="Y450" s="39"/>
      <c r="Z450" s="40">
        <f t="shared" si="120"/>
        <v>0</v>
      </c>
      <c r="AE450" s="452"/>
      <c r="AN450" s="268"/>
      <c r="AO450" s="578"/>
      <c r="AP450" s="578"/>
      <c r="AQ450" s="578"/>
      <c r="AR450" s="578"/>
      <c r="AS450" s="578"/>
      <c r="AT450" s="578"/>
      <c r="AU450" s="578"/>
    </row>
    <row r="451" spans="1:47" ht="116.25" hidden="1" customHeight="1">
      <c r="A451" s="592"/>
      <c r="B451" s="380"/>
      <c r="C451" s="380"/>
      <c r="D451" s="380"/>
      <c r="E451" s="380"/>
      <c r="F451" s="380"/>
      <c r="G451" s="380"/>
      <c r="H451" s="380"/>
      <c r="I451" s="984"/>
      <c r="J451" s="1042"/>
      <c r="K451" s="1042"/>
      <c r="L451" s="1042"/>
      <c r="M451" s="595" t="s">
        <v>587</v>
      </c>
      <c r="N451" s="600">
        <v>1</v>
      </c>
      <c r="O451" s="594">
        <v>6400</v>
      </c>
      <c r="P451" s="594">
        <f t="shared" si="121"/>
        <v>6400</v>
      </c>
      <c r="Q451" s="120"/>
      <c r="R451" s="594"/>
      <c r="S451" s="594">
        <v>6400</v>
      </c>
      <c r="T451" s="39"/>
      <c r="U451" s="39"/>
      <c r="V451" s="39">
        <f t="shared" si="118"/>
        <v>0</v>
      </c>
      <c r="W451" s="39"/>
      <c r="X451" s="39">
        <f t="shared" si="119"/>
        <v>0</v>
      </c>
      <c r="Y451" s="39"/>
      <c r="Z451" s="40">
        <f t="shared" si="120"/>
        <v>0</v>
      </c>
      <c r="AE451" s="452"/>
      <c r="AN451" s="268"/>
      <c r="AO451" s="578"/>
      <c r="AP451" s="578"/>
      <c r="AQ451" s="578"/>
      <c r="AR451" s="578"/>
      <c r="AS451" s="578"/>
      <c r="AT451" s="578"/>
      <c r="AU451" s="578"/>
    </row>
    <row r="452" spans="1:47" ht="162.75" hidden="1" customHeight="1">
      <c r="A452" s="592"/>
      <c r="B452" s="380"/>
      <c r="C452" s="380"/>
      <c r="D452" s="380"/>
      <c r="E452" s="380"/>
      <c r="F452" s="380"/>
      <c r="G452" s="380"/>
      <c r="H452" s="380"/>
      <c r="I452" s="984"/>
      <c r="J452" s="1042"/>
      <c r="K452" s="1042"/>
      <c r="L452" s="1042"/>
      <c r="M452" s="595" t="s">
        <v>588</v>
      </c>
      <c r="N452" s="600">
        <v>1</v>
      </c>
      <c r="O452" s="594">
        <v>8000</v>
      </c>
      <c r="P452" s="594">
        <f t="shared" si="121"/>
        <v>8000</v>
      </c>
      <c r="Q452" s="120"/>
      <c r="R452" s="594"/>
      <c r="S452" s="594">
        <v>8000</v>
      </c>
      <c r="T452" s="39"/>
      <c r="U452" s="39"/>
      <c r="V452" s="39">
        <f t="shared" si="118"/>
        <v>0</v>
      </c>
      <c r="W452" s="39"/>
      <c r="X452" s="39">
        <f t="shared" si="119"/>
        <v>0</v>
      </c>
      <c r="Y452" s="39"/>
      <c r="Z452" s="40">
        <f t="shared" si="120"/>
        <v>0</v>
      </c>
      <c r="AE452" s="452"/>
      <c r="AN452" s="268"/>
      <c r="AO452" s="578"/>
      <c r="AP452" s="578"/>
      <c r="AQ452" s="578"/>
      <c r="AR452" s="578"/>
      <c r="AS452" s="578"/>
      <c r="AT452" s="578"/>
      <c r="AU452" s="578"/>
    </row>
    <row r="453" spans="1:47" ht="108" customHeight="1">
      <c r="A453" s="592" t="s">
        <v>589</v>
      </c>
      <c r="B453" s="380"/>
      <c r="C453" s="380"/>
      <c r="D453" s="380"/>
      <c r="E453" s="380"/>
      <c r="F453" s="380"/>
      <c r="G453" s="380"/>
      <c r="H453" s="380"/>
      <c r="I453" s="984"/>
      <c r="J453" s="593">
        <v>59400</v>
      </c>
      <c r="K453" s="594">
        <v>131454.56</v>
      </c>
      <c r="L453" s="595"/>
      <c r="M453" s="596" t="s">
        <v>590</v>
      </c>
      <c r="N453" s="600">
        <v>7</v>
      </c>
      <c r="O453" s="598">
        <v>13823</v>
      </c>
      <c r="P453" s="605">
        <v>179700</v>
      </c>
      <c r="Q453" s="605">
        <v>179700</v>
      </c>
      <c r="R453" s="605">
        <v>202000</v>
      </c>
      <c r="S453" s="605">
        <v>304000</v>
      </c>
      <c r="T453" s="39">
        <v>106400</v>
      </c>
      <c r="U453" s="39">
        <v>106400</v>
      </c>
      <c r="V453" s="39">
        <f t="shared" si="118"/>
        <v>106400</v>
      </c>
      <c r="W453" s="39">
        <v>67266</v>
      </c>
      <c r="X453" s="39">
        <f t="shared" si="119"/>
        <v>67266</v>
      </c>
      <c r="Y453" s="39">
        <f>W453</f>
        <v>67266</v>
      </c>
      <c r="Z453" s="40">
        <f t="shared" si="120"/>
        <v>67266</v>
      </c>
      <c r="AE453" s="452"/>
      <c r="AN453" s="268"/>
      <c r="AO453" s="578"/>
      <c r="AP453" s="578"/>
      <c r="AQ453" s="578"/>
      <c r="AR453" s="578"/>
      <c r="AS453" s="578"/>
      <c r="AT453" s="578"/>
      <c r="AU453" s="578"/>
    </row>
    <row r="454" spans="1:47" ht="263.25" hidden="1">
      <c r="A454" s="592" t="s">
        <v>591</v>
      </c>
      <c r="B454" s="380"/>
      <c r="C454" s="380"/>
      <c r="D454" s="380"/>
      <c r="E454" s="380"/>
      <c r="F454" s="380"/>
      <c r="G454" s="380"/>
      <c r="H454" s="380"/>
      <c r="I454" s="984"/>
      <c r="J454" s="593">
        <v>36000</v>
      </c>
      <c r="K454" s="594">
        <v>32000</v>
      </c>
      <c r="L454" s="595"/>
      <c r="M454" s="596" t="s">
        <v>592</v>
      </c>
      <c r="N454" s="600">
        <v>1</v>
      </c>
      <c r="O454" s="598">
        <v>15000</v>
      </c>
      <c r="P454" s="594">
        <v>15000</v>
      </c>
      <c r="Q454" s="120">
        <v>15000</v>
      </c>
      <c r="R454" s="594">
        <v>17000</v>
      </c>
      <c r="S454" s="594">
        <v>160000</v>
      </c>
      <c r="T454" s="39"/>
      <c r="U454" s="39"/>
      <c r="V454" s="39">
        <f t="shared" si="118"/>
        <v>0</v>
      </c>
      <c r="W454" s="39"/>
      <c r="X454" s="39">
        <f t="shared" si="119"/>
        <v>0</v>
      </c>
      <c r="Y454" s="39"/>
      <c r="Z454" s="40">
        <f t="shared" si="120"/>
        <v>0</v>
      </c>
      <c r="AE454" s="452"/>
      <c r="AN454" s="268"/>
      <c r="AO454" s="578"/>
      <c r="AP454" s="578"/>
      <c r="AQ454" s="578"/>
      <c r="AR454" s="578"/>
      <c r="AS454" s="578"/>
      <c r="AT454" s="578"/>
      <c r="AU454" s="578"/>
    </row>
    <row r="455" spans="1:47" ht="60.75" hidden="1">
      <c r="A455" s="606" t="s">
        <v>593</v>
      </c>
      <c r="B455" s="380"/>
      <c r="C455" s="380"/>
      <c r="D455" s="380"/>
      <c r="E455" s="380"/>
      <c r="F455" s="380"/>
      <c r="G455" s="380"/>
      <c r="H455" s="380"/>
      <c r="I455" s="984"/>
      <c r="J455" s="593">
        <v>36580</v>
      </c>
      <c r="K455" s="594">
        <v>8500</v>
      </c>
      <c r="L455" s="595"/>
      <c r="M455" s="607"/>
      <c r="N455" s="600">
        <v>0</v>
      </c>
      <c r="O455" s="598">
        <v>0</v>
      </c>
      <c r="P455" s="594">
        <v>0</v>
      </c>
      <c r="Q455" s="594">
        <v>0</v>
      </c>
      <c r="R455" s="594">
        <v>0</v>
      </c>
      <c r="S455" s="594">
        <v>0</v>
      </c>
      <c r="T455" s="39"/>
      <c r="U455" s="39"/>
      <c r="V455" s="39">
        <f t="shared" si="118"/>
        <v>0</v>
      </c>
      <c r="W455" s="39"/>
      <c r="X455" s="39">
        <f t="shared" si="119"/>
        <v>0</v>
      </c>
      <c r="Y455" s="39"/>
      <c r="Z455" s="40">
        <f t="shared" si="120"/>
        <v>0</v>
      </c>
      <c r="AE455" s="452"/>
      <c r="AN455" s="268"/>
      <c r="AO455" s="578"/>
      <c r="AP455" s="578"/>
      <c r="AQ455" s="578"/>
      <c r="AR455" s="578"/>
      <c r="AS455" s="578"/>
      <c r="AT455" s="578"/>
      <c r="AU455" s="578"/>
    </row>
    <row r="456" spans="1:47" ht="81" hidden="1">
      <c r="A456" s="606" t="s">
        <v>594</v>
      </c>
      <c r="B456" s="380"/>
      <c r="C456" s="380"/>
      <c r="D456" s="380"/>
      <c r="E456" s="380"/>
      <c r="F456" s="380"/>
      <c r="G456" s="380"/>
      <c r="H456" s="380"/>
      <c r="I456" s="984"/>
      <c r="J456" s="594">
        <v>5080</v>
      </c>
      <c r="K456" s="594">
        <v>24000</v>
      </c>
      <c r="L456" s="595"/>
      <c r="M456" s="596" t="s">
        <v>595</v>
      </c>
      <c r="N456" s="597">
        <v>1</v>
      </c>
      <c r="O456" s="598">
        <v>100000</v>
      </c>
      <c r="P456" s="594">
        <v>100000</v>
      </c>
      <c r="Q456" s="594">
        <v>100000</v>
      </c>
      <c r="R456" s="594">
        <v>24000</v>
      </c>
      <c r="S456" s="594">
        <v>24000</v>
      </c>
      <c r="T456" s="39"/>
      <c r="U456" s="39"/>
      <c r="V456" s="39">
        <f t="shared" si="118"/>
        <v>0</v>
      </c>
      <c r="W456" s="39"/>
      <c r="X456" s="39">
        <f t="shared" si="119"/>
        <v>0</v>
      </c>
      <c r="Y456" s="39"/>
      <c r="Z456" s="40">
        <f t="shared" si="120"/>
        <v>0</v>
      </c>
      <c r="AE456" s="452"/>
      <c r="AN456" s="268"/>
      <c r="AO456" s="578"/>
      <c r="AP456" s="578"/>
      <c r="AQ456" s="578"/>
      <c r="AR456" s="578"/>
      <c r="AS456" s="578"/>
      <c r="AT456" s="578"/>
      <c r="AU456" s="578"/>
    </row>
    <row r="457" spans="1:47" ht="243" hidden="1">
      <c r="A457" s="34" t="s">
        <v>399</v>
      </c>
      <c r="B457" s="380"/>
      <c r="C457" s="380"/>
      <c r="D457" s="380"/>
      <c r="E457" s="380"/>
      <c r="F457" s="380"/>
      <c r="G457" s="380"/>
      <c r="H457" s="380"/>
      <c r="I457" s="984"/>
      <c r="J457" s="593">
        <v>0</v>
      </c>
      <c r="K457" s="594">
        <v>100000</v>
      </c>
      <c r="L457" s="608"/>
      <c r="M457" s="596" t="s">
        <v>596</v>
      </c>
      <c r="N457" s="597">
        <v>0</v>
      </c>
      <c r="O457" s="598">
        <v>0</v>
      </c>
      <c r="P457" s="609">
        <v>0</v>
      </c>
      <c r="Q457" s="610">
        <v>0</v>
      </c>
      <c r="R457" s="594">
        <v>15000</v>
      </c>
      <c r="S457" s="594">
        <v>45000</v>
      </c>
      <c r="T457" s="39"/>
      <c r="U457" s="39"/>
      <c r="V457" s="39">
        <f t="shared" si="118"/>
        <v>0</v>
      </c>
      <c r="W457" s="39"/>
      <c r="X457" s="39">
        <f t="shared" si="119"/>
        <v>0</v>
      </c>
      <c r="Y457" s="39"/>
      <c r="Z457" s="40">
        <f t="shared" si="120"/>
        <v>0</v>
      </c>
      <c r="AE457" s="452"/>
      <c r="AN457" s="268"/>
      <c r="AO457" s="578"/>
      <c r="AP457" s="578"/>
      <c r="AQ457" s="578"/>
      <c r="AR457" s="578"/>
      <c r="AS457" s="578"/>
      <c r="AT457" s="578"/>
      <c r="AU457" s="578"/>
    </row>
    <row r="458" spans="1:47" ht="60.75" hidden="1">
      <c r="A458" s="34" t="s">
        <v>161</v>
      </c>
      <c r="B458" s="380"/>
      <c r="C458" s="380"/>
      <c r="D458" s="380"/>
      <c r="E458" s="380"/>
      <c r="F458" s="380"/>
      <c r="G458" s="380"/>
      <c r="H458" s="380"/>
      <c r="I458" s="984"/>
      <c r="J458" s="593">
        <v>0</v>
      </c>
      <c r="K458" s="594">
        <v>32000</v>
      </c>
      <c r="L458" s="595"/>
      <c r="M458" s="607"/>
      <c r="N458" s="611">
        <v>0</v>
      </c>
      <c r="O458" s="612">
        <v>0</v>
      </c>
      <c r="P458" s="612">
        <v>0</v>
      </c>
      <c r="Q458" s="612">
        <v>0</v>
      </c>
      <c r="R458" s="612">
        <v>0</v>
      </c>
      <c r="S458" s="612">
        <v>0</v>
      </c>
      <c r="T458" s="39"/>
      <c r="U458" s="39"/>
      <c r="V458" s="39">
        <f t="shared" si="118"/>
        <v>0</v>
      </c>
      <c r="W458" s="39"/>
      <c r="X458" s="39">
        <f t="shared" si="119"/>
        <v>0</v>
      </c>
      <c r="Y458" s="39"/>
      <c r="Z458" s="40">
        <f t="shared" si="120"/>
        <v>0</v>
      </c>
      <c r="AE458" s="452"/>
      <c r="AN458" s="268"/>
      <c r="AO458" s="578"/>
      <c r="AP458" s="578"/>
      <c r="AQ458" s="578"/>
      <c r="AR458" s="578"/>
      <c r="AS458" s="578"/>
      <c r="AT458" s="578"/>
      <c r="AU458" s="578"/>
    </row>
    <row r="459" spans="1:47" ht="40.5" hidden="1">
      <c r="A459" s="34" t="s">
        <v>167</v>
      </c>
      <c r="B459" s="380"/>
      <c r="C459" s="380"/>
      <c r="D459" s="380"/>
      <c r="E459" s="380"/>
      <c r="F459" s="380"/>
      <c r="G459" s="380"/>
      <c r="H459" s="380"/>
      <c r="I459" s="984"/>
      <c r="J459" s="593"/>
      <c r="K459" s="594"/>
      <c r="L459" s="595"/>
      <c r="M459" s="607"/>
      <c r="N459" s="611">
        <v>2</v>
      </c>
      <c r="O459" s="613">
        <v>40000</v>
      </c>
      <c r="P459" s="613"/>
      <c r="Q459" s="613">
        <v>80000</v>
      </c>
      <c r="R459" s="613">
        <v>0</v>
      </c>
      <c r="S459" s="613">
        <v>0</v>
      </c>
      <c r="T459" s="39"/>
      <c r="U459" s="39"/>
      <c r="V459" s="39">
        <f t="shared" si="118"/>
        <v>0</v>
      </c>
      <c r="W459" s="39"/>
      <c r="X459" s="39">
        <f t="shared" si="119"/>
        <v>0</v>
      </c>
      <c r="Y459" s="39"/>
      <c r="Z459" s="40">
        <f t="shared" si="120"/>
        <v>0</v>
      </c>
      <c r="AE459" s="452"/>
      <c r="AN459" s="268"/>
      <c r="AO459" s="578"/>
      <c r="AP459" s="578"/>
      <c r="AQ459" s="578"/>
      <c r="AR459" s="578"/>
      <c r="AS459" s="578"/>
      <c r="AT459" s="578"/>
      <c r="AU459" s="578"/>
    </row>
    <row r="460" spans="1:47" ht="101.25" hidden="1">
      <c r="A460" s="34" t="s">
        <v>597</v>
      </c>
      <c r="B460" s="380"/>
      <c r="C460" s="380"/>
      <c r="D460" s="380"/>
      <c r="E460" s="380"/>
      <c r="F460" s="380"/>
      <c r="G460" s="380"/>
      <c r="H460" s="380"/>
      <c r="I460" s="984"/>
      <c r="J460" s="593"/>
      <c r="K460" s="594"/>
      <c r="L460" s="595"/>
      <c r="M460" s="607" t="s">
        <v>598</v>
      </c>
      <c r="N460" s="611"/>
      <c r="O460" s="612"/>
      <c r="P460" s="612"/>
      <c r="Q460" s="612"/>
      <c r="R460" s="612"/>
      <c r="S460" s="612"/>
      <c r="T460" s="39"/>
      <c r="U460" s="39"/>
      <c r="V460" s="39">
        <f t="shared" si="118"/>
        <v>0</v>
      </c>
      <c r="W460" s="39"/>
      <c r="X460" s="39">
        <f t="shared" si="119"/>
        <v>0</v>
      </c>
      <c r="Y460" s="39"/>
      <c r="Z460" s="40">
        <f t="shared" si="120"/>
        <v>0</v>
      </c>
      <c r="AE460" s="452"/>
      <c r="AN460" s="268"/>
      <c r="AO460" s="578"/>
      <c r="AP460" s="578"/>
      <c r="AQ460" s="578"/>
      <c r="AR460" s="578"/>
      <c r="AS460" s="578"/>
      <c r="AT460" s="578"/>
      <c r="AU460" s="578"/>
    </row>
    <row r="461" spans="1:47" ht="101.25">
      <c r="A461" s="614" t="s">
        <v>599</v>
      </c>
      <c r="B461" s="380"/>
      <c r="C461" s="380"/>
      <c r="D461" s="380"/>
      <c r="E461" s="380"/>
      <c r="F461" s="380"/>
      <c r="G461" s="380"/>
      <c r="H461" s="380"/>
      <c r="I461" s="984"/>
      <c r="J461" s="593">
        <v>0</v>
      </c>
      <c r="K461" s="594">
        <v>12000</v>
      </c>
      <c r="L461" s="595"/>
      <c r="M461" s="602" t="s">
        <v>600</v>
      </c>
      <c r="N461" s="615">
        <v>1</v>
      </c>
      <c r="O461" s="604">
        <v>8500</v>
      </c>
      <c r="P461" s="616">
        <v>0</v>
      </c>
      <c r="Q461" s="616">
        <v>17000</v>
      </c>
      <c r="R461" s="594">
        <v>0</v>
      </c>
      <c r="S461" s="594">
        <v>0</v>
      </c>
      <c r="T461" s="39">
        <v>12000</v>
      </c>
      <c r="U461" s="39">
        <v>12000</v>
      </c>
      <c r="V461" s="39">
        <f t="shared" si="118"/>
        <v>12000</v>
      </c>
      <c r="W461" s="39">
        <v>7586</v>
      </c>
      <c r="X461" s="39">
        <f t="shared" si="119"/>
        <v>7586</v>
      </c>
      <c r="Y461" s="39">
        <f>W461</f>
        <v>7586</v>
      </c>
      <c r="Z461" s="40">
        <f t="shared" si="120"/>
        <v>7586</v>
      </c>
      <c r="AE461" s="452"/>
      <c r="AN461" s="268"/>
      <c r="AO461" s="578"/>
      <c r="AP461" s="578"/>
      <c r="AQ461" s="578"/>
      <c r="AR461" s="578"/>
      <c r="AS461" s="578"/>
      <c r="AT461" s="578"/>
      <c r="AU461" s="578"/>
    </row>
    <row r="462" spans="1:47" ht="40.5" hidden="1">
      <c r="A462" s="606" t="s">
        <v>601</v>
      </c>
      <c r="B462" s="380"/>
      <c r="C462" s="380"/>
      <c r="D462" s="380"/>
      <c r="E462" s="380"/>
      <c r="F462" s="380"/>
      <c r="G462" s="380"/>
      <c r="H462" s="380"/>
      <c r="I462" s="984"/>
      <c r="J462" s="593">
        <v>9900</v>
      </c>
      <c r="K462" s="594">
        <v>12000</v>
      </c>
      <c r="L462" s="595"/>
      <c r="M462" s="617"/>
      <c r="N462" s="615">
        <v>0</v>
      </c>
      <c r="O462" s="604">
        <v>0</v>
      </c>
      <c r="P462" s="616">
        <v>0</v>
      </c>
      <c r="Q462" s="616">
        <v>0</v>
      </c>
      <c r="R462" s="594">
        <v>0</v>
      </c>
      <c r="S462" s="594">
        <v>0</v>
      </c>
      <c r="T462" s="39"/>
      <c r="U462" s="39"/>
      <c r="V462" s="39">
        <f t="shared" si="118"/>
        <v>0</v>
      </c>
      <c r="W462" s="39"/>
      <c r="X462" s="39">
        <f t="shared" si="119"/>
        <v>0</v>
      </c>
      <c r="Y462" s="39"/>
      <c r="Z462" s="40">
        <f t="shared" si="120"/>
        <v>0</v>
      </c>
      <c r="AE462" s="452"/>
      <c r="AN462" s="268"/>
      <c r="AO462" s="578"/>
      <c r="AP462" s="578"/>
      <c r="AQ462" s="578"/>
      <c r="AR462" s="578"/>
      <c r="AS462" s="578"/>
      <c r="AT462" s="578"/>
      <c r="AU462" s="578"/>
    </row>
    <row r="463" spans="1:47" ht="60.75" hidden="1">
      <c r="A463" s="606" t="s">
        <v>602</v>
      </c>
      <c r="B463" s="984"/>
      <c r="C463" s="984"/>
      <c r="D463" s="984"/>
      <c r="E463" s="984"/>
      <c r="F463" s="984"/>
      <c r="G463" s="984"/>
      <c r="H463" s="984"/>
      <c r="I463" s="984"/>
      <c r="J463" s="612">
        <v>0</v>
      </c>
      <c r="K463" s="594">
        <v>0</v>
      </c>
      <c r="L463" s="595"/>
      <c r="M463" s="602" t="s">
        <v>603</v>
      </c>
      <c r="N463" s="615">
        <v>1</v>
      </c>
      <c r="O463" s="604">
        <v>18000</v>
      </c>
      <c r="P463" s="604">
        <v>18000</v>
      </c>
      <c r="Q463" s="604">
        <v>18000</v>
      </c>
      <c r="R463" s="594">
        <v>0</v>
      </c>
      <c r="S463" s="594">
        <v>0</v>
      </c>
      <c r="T463" s="39"/>
      <c r="U463" s="39"/>
      <c r="V463" s="39">
        <f t="shared" si="118"/>
        <v>0</v>
      </c>
      <c r="W463" s="39"/>
      <c r="X463" s="39">
        <f t="shared" si="119"/>
        <v>0</v>
      </c>
      <c r="Y463" s="39"/>
      <c r="Z463" s="40">
        <f t="shared" si="120"/>
        <v>0</v>
      </c>
      <c r="AE463" s="452"/>
      <c r="AN463" s="268"/>
      <c r="AO463" s="578"/>
      <c r="AP463" s="578"/>
      <c r="AQ463" s="578"/>
      <c r="AR463" s="578"/>
      <c r="AS463" s="578"/>
      <c r="AT463" s="578"/>
      <c r="AU463" s="578"/>
    </row>
    <row r="464" spans="1:47" ht="110.25" customHeight="1">
      <c r="A464" s="606" t="s">
        <v>604</v>
      </c>
      <c r="B464" s="1043"/>
      <c r="C464" s="1043"/>
      <c r="D464" s="1043"/>
      <c r="E464" s="1043"/>
      <c r="F464" s="1043"/>
      <c r="G464" s="1043"/>
      <c r="H464" s="1043"/>
      <c r="I464" s="984"/>
      <c r="J464" s="593">
        <v>24000</v>
      </c>
      <c r="K464" s="593">
        <v>0</v>
      </c>
      <c r="L464" s="618"/>
      <c r="M464" s="602" t="s">
        <v>605</v>
      </c>
      <c r="N464" s="615">
        <v>2</v>
      </c>
      <c r="O464" s="604">
        <v>16888.900000000001</v>
      </c>
      <c r="P464" s="604">
        <v>304000</v>
      </c>
      <c r="Q464" s="604">
        <f>P464</f>
        <v>304000</v>
      </c>
      <c r="R464" s="594">
        <v>78000</v>
      </c>
      <c r="S464" s="594">
        <v>26000</v>
      </c>
      <c r="T464" s="39">
        <v>200000</v>
      </c>
      <c r="U464" s="39">
        <v>66000</v>
      </c>
      <c r="V464" s="39">
        <f t="shared" si="118"/>
        <v>66000</v>
      </c>
      <c r="W464" s="39">
        <v>126440</v>
      </c>
      <c r="X464" s="39">
        <f t="shared" si="119"/>
        <v>126440</v>
      </c>
      <c r="Y464" s="39">
        <f>W464</f>
        <v>126440</v>
      </c>
      <c r="Z464" s="40">
        <f t="shared" si="120"/>
        <v>126440</v>
      </c>
      <c r="AE464" s="452"/>
      <c r="AN464" s="268"/>
      <c r="AO464" s="578"/>
      <c r="AP464" s="578"/>
      <c r="AQ464" s="578"/>
      <c r="AR464" s="578"/>
      <c r="AS464" s="578"/>
      <c r="AT464" s="578"/>
      <c r="AU464" s="578"/>
    </row>
    <row r="465" spans="1:47" ht="67.5" customHeight="1">
      <c r="A465" s="606" t="s">
        <v>606</v>
      </c>
      <c r="B465" s="1043"/>
      <c r="C465" s="1043"/>
      <c r="D465" s="1043"/>
      <c r="E465" s="1043"/>
      <c r="F465" s="1043"/>
      <c r="G465" s="1043"/>
      <c r="H465" s="1043"/>
      <c r="I465" s="984"/>
      <c r="J465" s="612">
        <v>5080</v>
      </c>
      <c r="K465" s="594">
        <v>0</v>
      </c>
      <c r="L465" s="618"/>
      <c r="M465" s="602" t="s">
        <v>607</v>
      </c>
      <c r="N465" s="619">
        <v>3</v>
      </c>
      <c r="O465" s="594">
        <v>0</v>
      </c>
      <c r="P465" s="594">
        <v>0</v>
      </c>
      <c r="Q465" s="594">
        <v>0</v>
      </c>
      <c r="R465" s="594">
        <v>0</v>
      </c>
      <c r="S465" s="594">
        <v>25250</v>
      </c>
      <c r="T465" s="39"/>
      <c r="U465" s="39">
        <v>60000</v>
      </c>
      <c r="V465" s="39">
        <v>60000</v>
      </c>
      <c r="W465" s="39">
        <v>0</v>
      </c>
      <c r="X465" s="39">
        <v>0</v>
      </c>
      <c r="Y465" s="39">
        <v>0</v>
      </c>
      <c r="Z465" s="40">
        <v>0</v>
      </c>
      <c r="AE465" s="452"/>
      <c r="AN465" s="268"/>
      <c r="AO465" s="578"/>
      <c r="AP465" s="578"/>
      <c r="AQ465" s="578"/>
      <c r="AR465" s="578"/>
      <c r="AS465" s="578"/>
      <c r="AT465" s="578"/>
      <c r="AU465" s="578"/>
    </row>
    <row r="466" spans="1:47" ht="114" customHeight="1">
      <c r="A466" s="606" t="s">
        <v>608</v>
      </c>
      <c r="B466" s="620"/>
      <c r="C466" s="620"/>
      <c r="D466" s="620"/>
      <c r="E466" s="620"/>
      <c r="F466" s="620"/>
      <c r="G466" s="620"/>
      <c r="H466" s="620"/>
      <c r="I466" s="621"/>
      <c r="J466" s="612"/>
      <c r="K466" s="594"/>
      <c r="L466" s="618"/>
      <c r="M466" s="602" t="s">
        <v>609</v>
      </c>
      <c r="N466" s="619"/>
      <c r="O466" s="594"/>
      <c r="P466" s="594"/>
      <c r="Q466" s="594"/>
      <c r="R466" s="594"/>
      <c r="S466" s="594"/>
      <c r="T466" s="39"/>
      <c r="U466" s="39">
        <v>80000</v>
      </c>
      <c r="V466" s="39">
        <v>80000</v>
      </c>
      <c r="W466" s="39">
        <v>0</v>
      </c>
      <c r="X466" s="39">
        <v>0</v>
      </c>
      <c r="Y466" s="39">
        <v>0</v>
      </c>
      <c r="Z466" s="40">
        <v>0</v>
      </c>
      <c r="AE466" s="452"/>
      <c r="AN466" s="268"/>
      <c r="AO466" s="578"/>
      <c r="AP466" s="578"/>
      <c r="AQ466" s="578"/>
      <c r="AR466" s="578"/>
      <c r="AS466" s="578"/>
      <c r="AT466" s="578"/>
      <c r="AU466" s="578"/>
    </row>
    <row r="467" spans="1:47" ht="69" customHeight="1">
      <c r="A467" s="606" t="s">
        <v>470</v>
      </c>
      <c r="B467" s="620"/>
      <c r="C467" s="620"/>
      <c r="D467" s="620"/>
      <c r="E467" s="620"/>
      <c r="F467" s="620"/>
      <c r="G467" s="620"/>
      <c r="H467" s="620"/>
      <c r="I467" s="621"/>
      <c r="J467" s="612"/>
      <c r="K467" s="594"/>
      <c r="L467" s="618"/>
      <c r="M467" s="602" t="s">
        <v>610</v>
      </c>
      <c r="N467" s="619">
        <v>2</v>
      </c>
      <c r="O467" s="594"/>
      <c r="P467" s="594"/>
      <c r="Q467" s="594"/>
      <c r="R467" s="594"/>
      <c r="S467" s="594"/>
      <c r="T467" s="39"/>
      <c r="U467" s="39">
        <v>28000</v>
      </c>
      <c r="V467" s="39">
        <v>28000</v>
      </c>
      <c r="W467" s="39">
        <v>0</v>
      </c>
      <c r="X467" s="39">
        <v>0</v>
      </c>
      <c r="Y467" s="39">
        <v>0</v>
      </c>
      <c r="Z467" s="40">
        <v>0</v>
      </c>
      <c r="AE467" s="452"/>
      <c r="AN467" s="268"/>
      <c r="AO467" s="578"/>
      <c r="AP467" s="578"/>
      <c r="AQ467" s="578"/>
      <c r="AR467" s="578"/>
      <c r="AS467" s="578"/>
      <c r="AT467" s="578"/>
      <c r="AU467" s="578"/>
    </row>
    <row r="468" spans="1:47" ht="94.5" customHeight="1">
      <c r="A468" s="606" t="s">
        <v>611</v>
      </c>
      <c r="B468" s="620"/>
      <c r="C468" s="620"/>
      <c r="D468" s="620"/>
      <c r="E468" s="620"/>
      <c r="F468" s="620"/>
      <c r="G468" s="620"/>
      <c r="H468" s="620"/>
      <c r="I468" s="621"/>
      <c r="J468" s="612"/>
      <c r="K468" s="594"/>
      <c r="L468" s="618"/>
      <c r="M468" s="602"/>
      <c r="N468" s="619"/>
      <c r="O468" s="594"/>
      <c r="P468" s="594"/>
      <c r="Q468" s="594"/>
      <c r="R468" s="594"/>
      <c r="S468" s="594"/>
      <c r="T468" s="39"/>
      <c r="U468" s="39">
        <v>11000</v>
      </c>
      <c r="V468" s="39">
        <v>11000</v>
      </c>
      <c r="W468" s="39">
        <v>0</v>
      </c>
      <c r="X468" s="39">
        <v>0</v>
      </c>
      <c r="Y468" s="39">
        <v>0</v>
      </c>
      <c r="Z468" s="40">
        <v>0</v>
      </c>
      <c r="AE468" s="452"/>
      <c r="AN468" s="268"/>
      <c r="AO468" s="578"/>
      <c r="AP468" s="578"/>
      <c r="AQ468" s="578"/>
      <c r="AR468" s="578"/>
      <c r="AS468" s="578"/>
      <c r="AT468" s="578"/>
      <c r="AU468" s="578"/>
    </row>
    <row r="469" spans="1:47" ht="224.25" customHeight="1">
      <c r="A469" s="587" t="s">
        <v>542</v>
      </c>
      <c r="B469" s="588" t="s">
        <v>22</v>
      </c>
      <c r="C469" s="588" t="s">
        <v>23</v>
      </c>
      <c r="D469" s="588" t="s">
        <v>612</v>
      </c>
      <c r="E469" s="588" t="s">
        <v>25</v>
      </c>
      <c r="F469" s="588" t="s">
        <v>544</v>
      </c>
      <c r="G469" s="588" t="s">
        <v>545</v>
      </c>
      <c r="H469" s="588" t="s">
        <v>28</v>
      </c>
      <c r="I469" s="190" t="s">
        <v>613</v>
      </c>
      <c r="J469" s="590">
        <v>130200</v>
      </c>
      <c r="K469" s="622">
        <v>195300</v>
      </c>
      <c r="L469" s="623"/>
      <c r="M469" s="624"/>
      <c r="N469" s="625">
        <v>3</v>
      </c>
      <c r="O469" s="626">
        <v>50000</v>
      </c>
      <c r="P469" s="626">
        <f t="shared" ref="P469:Z469" si="122">P470+P471</f>
        <v>0</v>
      </c>
      <c r="Q469" s="626">
        <f t="shared" si="122"/>
        <v>195300</v>
      </c>
      <c r="R469" s="626">
        <f t="shared" si="122"/>
        <v>195300</v>
      </c>
      <c r="S469" s="626">
        <f t="shared" si="122"/>
        <v>195300</v>
      </c>
      <c r="T469" s="622">
        <f t="shared" si="122"/>
        <v>130200</v>
      </c>
      <c r="U469" s="627">
        <f t="shared" si="122"/>
        <v>130200</v>
      </c>
      <c r="V469" s="627">
        <f t="shared" si="122"/>
        <v>130200</v>
      </c>
      <c r="W469" s="627">
        <f t="shared" si="122"/>
        <v>97650</v>
      </c>
      <c r="X469" s="627">
        <f t="shared" si="122"/>
        <v>97650</v>
      </c>
      <c r="Y469" s="627">
        <f t="shared" si="122"/>
        <v>97650</v>
      </c>
      <c r="Z469" s="627">
        <f t="shared" si="122"/>
        <v>97650</v>
      </c>
      <c r="AE469" s="452"/>
      <c r="AN469" s="268"/>
      <c r="AO469" s="578"/>
      <c r="AP469" s="578"/>
      <c r="AQ469" s="578"/>
      <c r="AR469" s="578"/>
      <c r="AS469" s="578"/>
      <c r="AT469" s="578"/>
      <c r="AU469" s="578"/>
    </row>
    <row r="470" spans="1:47" ht="57" customHeight="1">
      <c r="A470" s="1012" t="s">
        <v>132</v>
      </c>
      <c r="B470" s="989"/>
      <c r="C470" s="990"/>
      <c r="D470" s="990"/>
      <c r="E470" s="990"/>
      <c r="F470" s="990"/>
      <c r="G470" s="990"/>
      <c r="H470" s="990"/>
      <c r="I470" s="981" t="s">
        <v>614</v>
      </c>
      <c r="J470" s="593">
        <v>100000</v>
      </c>
      <c r="K470" s="609">
        <v>150000</v>
      </c>
      <c r="L470" s="628"/>
      <c r="M470" s="629"/>
      <c r="N470" s="505">
        <v>3</v>
      </c>
      <c r="O470" s="630">
        <v>50000</v>
      </c>
      <c r="P470" s="630"/>
      <c r="Q470" s="609">
        <v>150000</v>
      </c>
      <c r="R470" s="609">
        <v>150000</v>
      </c>
      <c r="S470" s="609">
        <v>150000</v>
      </c>
      <c r="T470" s="39">
        <v>100000</v>
      </c>
      <c r="U470" s="39">
        <v>100000</v>
      </c>
      <c r="V470" s="39">
        <f>U470</f>
        <v>100000</v>
      </c>
      <c r="W470" s="1029">
        <v>97650</v>
      </c>
      <c r="X470" s="953">
        <f>W470</f>
        <v>97650</v>
      </c>
      <c r="Y470" s="1029">
        <v>97650</v>
      </c>
      <c r="Z470" s="955">
        <f>Y470</f>
        <v>97650</v>
      </c>
      <c r="AE470" s="452"/>
      <c r="AN470" s="268"/>
      <c r="AO470" s="578"/>
      <c r="AP470" s="578"/>
      <c r="AQ470" s="578"/>
      <c r="AR470" s="578"/>
      <c r="AS470" s="578"/>
      <c r="AT470" s="578"/>
      <c r="AU470" s="578"/>
    </row>
    <row r="471" spans="1:47" ht="34.5" customHeight="1">
      <c r="A471" s="1012"/>
      <c r="B471" s="990"/>
      <c r="C471" s="990"/>
      <c r="D471" s="990"/>
      <c r="E471" s="990"/>
      <c r="F471" s="990"/>
      <c r="G471" s="990"/>
      <c r="H471" s="990"/>
      <c r="I471" s="982"/>
      <c r="J471" s="631">
        <v>30200</v>
      </c>
      <c r="K471" s="609">
        <v>45300</v>
      </c>
      <c r="L471" s="628"/>
      <c r="M471" s="629"/>
      <c r="N471" s="505">
        <v>3</v>
      </c>
      <c r="O471" s="630">
        <f>O470*0.302</f>
        <v>15100</v>
      </c>
      <c r="P471" s="630"/>
      <c r="Q471" s="609">
        <v>45300</v>
      </c>
      <c r="R471" s="609">
        <v>45300</v>
      </c>
      <c r="S471" s="609">
        <v>45300</v>
      </c>
      <c r="T471" s="39">
        <v>30200</v>
      </c>
      <c r="U471" s="39">
        <v>30200</v>
      </c>
      <c r="V471" s="39">
        <f>U471</f>
        <v>30200</v>
      </c>
      <c r="W471" s="1029"/>
      <c r="X471" s="954"/>
      <c r="Y471" s="1029"/>
      <c r="Z471" s="956"/>
      <c r="AE471" s="452"/>
      <c r="AN471" s="268"/>
      <c r="AO471" s="578"/>
      <c r="AP471" s="578"/>
      <c r="AQ471" s="578"/>
      <c r="AR471" s="578"/>
      <c r="AS471" s="578"/>
      <c r="AT471" s="578"/>
      <c r="AU471" s="578"/>
    </row>
    <row r="472" spans="1:47" ht="245.25" customHeight="1">
      <c r="A472" s="587" t="s">
        <v>542</v>
      </c>
      <c r="B472" s="588" t="s">
        <v>22</v>
      </c>
      <c r="C472" s="588" t="s">
        <v>23</v>
      </c>
      <c r="D472" s="588" t="s">
        <v>615</v>
      </c>
      <c r="E472" s="588" t="s">
        <v>25</v>
      </c>
      <c r="F472" s="588" t="s">
        <v>544</v>
      </c>
      <c r="G472" s="588" t="s">
        <v>545</v>
      </c>
      <c r="H472" s="588" t="s">
        <v>28</v>
      </c>
      <c r="I472" s="190" t="s">
        <v>616</v>
      </c>
      <c r="J472" s="579" t="e">
        <f>J473+J547+#REF!+#REF!+#REF!+J564+#REF!+#REF!</f>
        <v>#REF!</v>
      </c>
      <c r="K472" s="622" t="e">
        <f>K473+K547+#REF!+#REF!+#REF!+K564</f>
        <v>#REF!</v>
      </c>
      <c r="L472" s="622"/>
      <c r="M472" s="624"/>
      <c r="N472" s="632"/>
      <c r="O472" s="622"/>
      <c r="P472" s="622" t="e">
        <f>P473+P547+#REF!+#REF!+P564</f>
        <v>#REF!</v>
      </c>
      <c r="Q472" s="579" t="e">
        <f>Q473+Q547+#REF!+#REF!+Q564+#REF!+#REF!</f>
        <v>#REF!</v>
      </c>
      <c r="R472" s="579" t="e">
        <f>R473+R547+#REF!</f>
        <v>#REF!</v>
      </c>
      <c r="S472" s="579" t="e">
        <f>S473+S547+#REF!+#REF!+S564+#REF!+#REF!</f>
        <v>#REF!</v>
      </c>
      <c r="T472" s="579" t="e">
        <f>T473+T547+#REF!+#REF!+T564+#REF!+#REF!</f>
        <v>#REF!</v>
      </c>
      <c r="U472" s="446">
        <f t="shared" ref="U472:Z472" si="123">U473+U547+U564+U546</f>
        <v>11658129</v>
      </c>
      <c r="V472" s="446">
        <f t="shared" si="123"/>
        <v>11658129</v>
      </c>
      <c r="W472" s="446">
        <f t="shared" si="123"/>
        <v>6228145.46</v>
      </c>
      <c r="X472" s="446">
        <f t="shared" si="123"/>
        <v>6228145.46</v>
      </c>
      <c r="Y472" s="446">
        <f t="shared" si="123"/>
        <v>6228145.46</v>
      </c>
      <c r="Z472" s="446">
        <f t="shared" si="123"/>
        <v>6228145.46</v>
      </c>
      <c r="AE472" s="452"/>
      <c r="AN472" s="268"/>
      <c r="AO472" s="578"/>
      <c r="AP472" s="578"/>
      <c r="AQ472" s="578"/>
      <c r="AR472" s="578"/>
      <c r="AS472" s="578"/>
      <c r="AT472" s="578"/>
      <c r="AU472" s="578"/>
    </row>
    <row r="473" spans="1:47" ht="53.25" customHeight="1">
      <c r="A473" s="633" t="s">
        <v>200</v>
      </c>
      <c r="B473" s="1030"/>
      <c r="C473" s="1031"/>
      <c r="D473" s="1031"/>
      <c r="E473" s="1031"/>
      <c r="F473" s="1031"/>
      <c r="G473" s="1031"/>
      <c r="H473" s="1031"/>
      <c r="I473" s="981" t="s">
        <v>617</v>
      </c>
      <c r="J473" s="634" t="e">
        <f>J475+J474+369707.22</f>
        <v>#REF!</v>
      </c>
      <c r="K473" s="635" t="e">
        <f>K474+K475</f>
        <v>#REF!</v>
      </c>
      <c r="L473" s="636" t="s">
        <v>618</v>
      </c>
      <c r="M473" s="637"/>
      <c r="N473" s="638">
        <f>N476+N478+N480+N482+N484+N486+N488+N490+N492+N494+N496+N498+N500+N502+N504+N506+N508+N510+N512+N516+N518+N520+N522+N524+N526+N528+N530+N532+N536+N538+N540+N542+N544+N514</f>
        <v>355.5</v>
      </c>
      <c r="O473" s="639"/>
      <c r="P473" s="639" t="e">
        <f t="shared" ref="P473:U473" si="124">P474+P475</f>
        <v>#REF!</v>
      </c>
      <c r="Q473" s="639" t="e">
        <f t="shared" si="124"/>
        <v>#REF!</v>
      </c>
      <c r="R473" s="639" t="e">
        <f t="shared" si="124"/>
        <v>#REF!</v>
      </c>
      <c r="S473" s="639" t="e">
        <f t="shared" si="124"/>
        <v>#REF!</v>
      </c>
      <c r="T473" s="635" t="e">
        <f t="shared" si="124"/>
        <v>#REF!</v>
      </c>
      <c r="U473" s="640">
        <f t="shared" si="124"/>
        <v>8443527.5</v>
      </c>
      <c r="V473" s="640">
        <f>V474+V475</f>
        <v>8443527.5</v>
      </c>
      <c r="W473" s="640">
        <f>W474+W475</f>
        <v>4789038.7</v>
      </c>
      <c r="X473" s="640">
        <f>X474+X475</f>
        <v>4789038.7</v>
      </c>
      <c r="Y473" s="640">
        <f>Y474+Y475</f>
        <v>4789038.7</v>
      </c>
      <c r="Z473" s="640">
        <f>Z474+Z475</f>
        <v>4789038.7</v>
      </c>
      <c r="AE473" s="452"/>
      <c r="AN473" s="268"/>
      <c r="AO473" s="578"/>
      <c r="AP473" s="578"/>
      <c r="AQ473" s="578"/>
      <c r="AR473" s="578"/>
      <c r="AS473" s="578"/>
      <c r="AT473" s="578"/>
      <c r="AU473" s="578"/>
    </row>
    <row r="474" spans="1:47" ht="40.5">
      <c r="A474" s="641" t="s">
        <v>619</v>
      </c>
      <c r="B474" s="1033"/>
      <c r="C474" s="1034"/>
      <c r="D474" s="1034"/>
      <c r="E474" s="1034"/>
      <c r="F474" s="1034"/>
      <c r="G474" s="1034"/>
      <c r="H474" s="1035"/>
      <c r="I474" s="1032"/>
      <c r="J474" s="609" t="e">
        <f>J476+J478+J480+J482+J484+J486+J488+#REF!+#REF!+J492+J494+J496+J498+J500+J502+J504+J506+#REF!+#REF!+J508+J510+J512+J514+J516+J518+#REF!+J520+J522+J524+J526+J528+J530+J532+J534+J536+J538+J540+J542+J544+#REF!+#REF!</f>
        <v>#REF!</v>
      </c>
      <c r="K474" s="609" t="e">
        <f>K476+K478+K480+K482+K484+K486+K488+#REF!+#REF!+K492+K494+K496+K498+K500+K502+K504+K506+#REF!+#REF!+K508+K510+K512+K514+K516+K518+#REF!+K520+K522+K524+K526+K528+K530+K532+K534+K536+K538+K540+K542+K544+#REF!</f>
        <v>#REF!</v>
      </c>
      <c r="L474" s="628">
        <v>211</v>
      </c>
      <c r="M474" s="629"/>
      <c r="N474" s="505"/>
      <c r="O474" s="630"/>
      <c r="P474" s="630" t="e">
        <f>P476+P478+P480+P482+P484+P486+P488+#REF!+#REF!+P492+P494+P496+P498+P500+P502+P504+P506+#REF!+#REF!+P508+P510+P512+P514+P516+P518+#REF!+P520+P522+P524+P526+P528+P530+P532+P534+P536+P538+P540+P542+P544+#REF!</f>
        <v>#REF!</v>
      </c>
      <c r="Q474" s="630" t="e">
        <f>Q476+Q478+Q480+Q482+Q484+Q486+Q488+#REF!+#REF!+Q492+Q494+Q496+Q498+Q500+Q502+Q504+Q506+#REF!+#REF!+Q508+Q510+Q512+Q514+Q516+Q518+#REF!+Q520+Q522+Q524+Q526+Q528+Q530+Q532+Q534+Q536+Q538+Q540+Q542+Q544+#REF!</f>
        <v>#REF!</v>
      </c>
      <c r="R474" s="630">
        <f>R476+R478+R480+R482+R484+R486+R488+R492+R494+R496+R498+R500+R502+R504+R506+R508+R510+R512+R514+R516+R518+R520+R522+R524+R526+R528+R530+R532+R534+R536+R538+R540+R542+R544</f>
        <v>6786408</v>
      </c>
      <c r="S474" s="630" t="e">
        <f>S476+S478+S480+S482+S484+S486+S488+#REF!+#REF!+S492+S494+S496+S498+S500+S502+S504+S506+#REF!+#REF!+S508+S510+S512+S514+S516+S518+#REF!+S520+S522+S524+S526+S528+S530+S532+S534+S536+S538+S540+S542+S544+#REF!</f>
        <v>#REF!</v>
      </c>
      <c r="T474" s="609" t="e">
        <f>T476+T478+T480+T482+T484+T486+T488+#REF!+#REF!+T492+T494+T496+T498+T500+T502+T504+T506+#REF!+#REF!+T508+T510+T512+T514+T516+T518+#REF!+T520+T522+T524+T526+T528+T530+T532+T534+T536+T538+T540+T542+T544+#REF!</f>
        <v>#REF!</v>
      </c>
      <c r="U474" s="83">
        <f t="shared" ref="U474:Z475" si="125">U476+U478+U480+U482+U484+U486+U488+U492+U494+U496+U498+U500+U502+U504+U506+U508+U510+U512+U514+U516+U518+U520+U522+U524+U526+U528+U530+U532+U534+U538+U540+U542+U544+U536+U490</f>
        <v>6448407.4999999991</v>
      </c>
      <c r="V474" s="83">
        <f t="shared" si="125"/>
        <v>6448407.4999999991</v>
      </c>
      <c r="W474" s="83">
        <f t="shared" si="125"/>
        <v>3631387</v>
      </c>
      <c r="X474" s="83">
        <f t="shared" si="125"/>
        <v>3631387</v>
      </c>
      <c r="Y474" s="83">
        <f t="shared" si="125"/>
        <v>3631387</v>
      </c>
      <c r="Z474" s="83">
        <f t="shared" si="125"/>
        <v>3631387</v>
      </c>
      <c r="AE474" s="452"/>
      <c r="AN474" s="268"/>
      <c r="AO474" s="578"/>
      <c r="AP474" s="578"/>
      <c r="AQ474" s="578"/>
      <c r="AR474" s="578"/>
      <c r="AS474" s="578"/>
      <c r="AT474" s="578"/>
      <c r="AU474" s="578"/>
    </row>
    <row r="475" spans="1:47" ht="40.5">
      <c r="A475" s="641" t="s">
        <v>620</v>
      </c>
      <c r="B475" s="1036"/>
      <c r="C475" s="1037"/>
      <c r="D475" s="1037"/>
      <c r="E475" s="1037"/>
      <c r="F475" s="1037"/>
      <c r="G475" s="1037"/>
      <c r="H475" s="1038"/>
      <c r="I475" s="1032"/>
      <c r="J475" s="609" t="e">
        <f>J477+J479+J481+J483+J485+J487+J489+#REF!+#REF!+J493+J495+J497+J499+J501+J503+J505+J507+#REF!+#REF!+J509+J511+J513+J515+J517+J519+#REF!+J521+J523+J525+J527+J529+J531+J533+J535+J537+J539+J541+J543+J545+#REF!+#REF!</f>
        <v>#REF!</v>
      </c>
      <c r="K475" s="609" t="e">
        <f>K477+K479+K481+K483+K485+K487+K489+#REF!+#REF!+K493+K495+K497+K499+K501+K503+K505+K507+#REF!+#REF!+K509+K511+K513+K515+K517+K519+#REF!+K521+K523+K525+K527+K529+K531+K533+K535+K537+K539+K541+K543+K545+#REF!</f>
        <v>#REF!</v>
      </c>
      <c r="L475" s="628">
        <v>213</v>
      </c>
      <c r="M475" s="629"/>
      <c r="N475" s="505"/>
      <c r="O475" s="630"/>
      <c r="P475" s="630" t="e">
        <f>P477+P479+P481+P483+P485+P487+P489+#REF!+#REF!+P493+P495+P497+P499+P501+P503+P505+P507+#REF!+#REF!+P509+P511+P513+P515+P517+P519+#REF!+P521+P523+P525+P527+P529+P531+P533+P535+P537+P539+P541+P543+P545+#REF!</f>
        <v>#REF!</v>
      </c>
      <c r="Q475" s="630" t="e">
        <f>Q477+Q479+Q481+Q483+Q485+Q487+Q489+#REF!+#REF!+Q493+Q495+Q497+Q499+Q501+Q503+Q505+Q507+#REF!+#REF!+Q509+Q511+Q513+Q515+Q517+Q519+#REF!+Q521+Q523+Q525+Q527+Q529+Q531+Q533+Q535+Q537+Q539+Q541+Q543+Q545+#REF!</f>
        <v>#REF!</v>
      </c>
      <c r="R475" s="630" t="e">
        <f>R477+R479+R481+R483+R485+R487+R489+#REF!+#REF!+R493+R495+R497+R499+R501+R503+R505+R507+#REF!+#REF!+R509+R511+R513+R515+R517+R519+#REF!+R521+R523+R525+R527+R529+R531+R533+R535+R537+R539+R541+R543+R545+#REF!</f>
        <v>#REF!</v>
      </c>
      <c r="S475" s="630" t="e">
        <f>S477+S479+S481+S483+S485+S487+S489+#REF!+#REF!+S493+S495+S497+S499+S501+S503+S505+S507+#REF!+#REF!+S509+S511+S513+S515+S517+S519+#REF!+S521+S523+S525+S527+S529+S531+S533+S535+S537+S539+S541+S543+S545+#REF!</f>
        <v>#REF!</v>
      </c>
      <c r="T475" s="609" t="e">
        <f>T477+T479+T481+T483+T485+T487+T489+#REF!+#REF!+T493+T495+T497+T499+T501+T503+T505+T507+#REF!+#REF!+T509+T511+T513+T515+T517+T519+#REF!+T521+T523+T525+T527+T529+T531+T533+T535+T537+T539+T541+T543+T545+#REF!</f>
        <v>#REF!</v>
      </c>
      <c r="U475" s="83">
        <f t="shared" si="125"/>
        <v>1995120.0000000002</v>
      </c>
      <c r="V475" s="83">
        <f t="shared" si="125"/>
        <v>1995120.0000000002</v>
      </c>
      <c r="W475" s="83">
        <f t="shared" si="125"/>
        <v>1157651.7</v>
      </c>
      <c r="X475" s="83">
        <f t="shared" si="125"/>
        <v>1157651.7</v>
      </c>
      <c r="Y475" s="83">
        <f t="shared" si="125"/>
        <v>1157651.7</v>
      </c>
      <c r="Z475" s="83">
        <f t="shared" si="125"/>
        <v>1157651.7</v>
      </c>
      <c r="AE475" s="452"/>
      <c r="AN475" s="268"/>
      <c r="AO475" s="578"/>
      <c r="AP475" s="578"/>
      <c r="AQ475" s="578"/>
      <c r="AR475" s="578"/>
      <c r="AS475" s="578"/>
      <c r="AT475" s="578"/>
      <c r="AU475" s="578"/>
    </row>
    <row r="476" spans="1:47" ht="69.75" customHeight="1">
      <c r="A476" s="998" t="s">
        <v>621</v>
      </c>
      <c r="B476" s="1036"/>
      <c r="C476" s="1037"/>
      <c r="D476" s="1037"/>
      <c r="E476" s="1037"/>
      <c r="F476" s="1037"/>
      <c r="G476" s="1037"/>
      <c r="H476" s="1038"/>
      <c r="I476" s="1032"/>
      <c r="J476" s="593">
        <v>309370.40999999997</v>
      </c>
      <c r="K476" s="642">
        <v>480730.98285224999</v>
      </c>
      <c r="L476" s="643">
        <v>211</v>
      </c>
      <c r="M476" s="1026" t="s">
        <v>622</v>
      </c>
      <c r="N476" s="644">
        <v>27</v>
      </c>
      <c r="O476" s="645">
        <v>1612</v>
      </c>
      <c r="P476" s="646">
        <f>ROUND(N476*O476*12,0)</f>
        <v>522288</v>
      </c>
      <c r="Q476" s="647">
        <v>522288</v>
      </c>
      <c r="R476" s="647">
        <v>522288</v>
      </c>
      <c r="S476" s="647">
        <v>522288</v>
      </c>
      <c r="T476" s="645">
        <v>522288</v>
      </c>
      <c r="U476" s="648">
        <f>522288-14544</f>
        <v>507744</v>
      </c>
      <c r="V476" s="649">
        <f>U476</f>
        <v>507744</v>
      </c>
      <c r="W476" s="40">
        <v>279006</v>
      </c>
      <c r="X476" s="40">
        <f>W476</f>
        <v>279006</v>
      </c>
      <c r="Y476" s="40">
        <f>W476</f>
        <v>279006</v>
      </c>
      <c r="Z476" s="40">
        <f>Y476</f>
        <v>279006</v>
      </c>
      <c r="AA476" s="905"/>
      <c r="AE476" s="452"/>
      <c r="AN476" s="268"/>
      <c r="AO476" s="578"/>
      <c r="AP476" s="578"/>
      <c r="AQ476" s="578"/>
      <c r="AR476" s="578"/>
      <c r="AS476" s="578"/>
      <c r="AT476" s="578"/>
      <c r="AU476" s="578"/>
    </row>
    <row r="477" spans="1:47" ht="100.5" customHeight="1">
      <c r="A477" s="998"/>
      <c r="B477" s="1036"/>
      <c r="C477" s="1037"/>
      <c r="D477" s="1037"/>
      <c r="E477" s="1037"/>
      <c r="F477" s="1037"/>
      <c r="G477" s="1037"/>
      <c r="H477" s="1038"/>
      <c r="I477" s="1032"/>
      <c r="J477" s="593">
        <v>100368.94</v>
      </c>
      <c r="K477" s="642">
        <v>153833.60000000001</v>
      </c>
      <c r="L477" s="643">
        <v>213</v>
      </c>
      <c r="M477" s="1027"/>
      <c r="N477" s="650">
        <v>0.32</v>
      </c>
      <c r="O477" s="651"/>
      <c r="P477" s="646">
        <f>ROUND(P476*N477,0)</f>
        <v>167132</v>
      </c>
      <c r="Q477" s="652">
        <v>167132</v>
      </c>
      <c r="R477" s="653">
        <v>167132</v>
      </c>
      <c r="S477" s="653">
        <v>167132</v>
      </c>
      <c r="T477" s="654">
        <v>167132</v>
      </c>
      <c r="U477" s="655">
        <f>167132-4653.92</f>
        <v>162478.07999999999</v>
      </c>
      <c r="V477" s="649">
        <f t="shared" ref="V477:V540" si="126">U477</f>
        <v>162478.07999999999</v>
      </c>
      <c r="W477" s="40">
        <v>89282</v>
      </c>
      <c r="X477" s="40">
        <f t="shared" ref="X477:X540" si="127">W477</f>
        <v>89282</v>
      </c>
      <c r="Y477" s="40">
        <f t="shared" ref="Y477:Y540" si="128">W477</f>
        <v>89282</v>
      </c>
      <c r="Z477" s="40">
        <f t="shared" ref="Z477:Z540" si="129">Y477</f>
        <v>89282</v>
      </c>
      <c r="AE477" s="452"/>
      <c r="AN477" s="268"/>
      <c r="AO477" s="578"/>
      <c r="AP477" s="578"/>
      <c r="AQ477" s="578"/>
      <c r="AR477" s="578"/>
      <c r="AS477" s="578"/>
      <c r="AT477" s="578"/>
      <c r="AU477" s="578"/>
    </row>
    <row r="478" spans="1:47" ht="142.5" customHeight="1">
      <c r="A478" s="998" t="s">
        <v>623</v>
      </c>
      <c r="B478" s="1036"/>
      <c r="C478" s="1037"/>
      <c r="D478" s="1037"/>
      <c r="E478" s="1037"/>
      <c r="F478" s="1037"/>
      <c r="G478" s="1037"/>
      <c r="H478" s="1038"/>
      <c r="I478" s="1032"/>
      <c r="J478" s="593">
        <v>363024.65</v>
      </c>
      <c r="K478" s="642">
        <v>295664.27</v>
      </c>
      <c r="L478" s="643">
        <v>211</v>
      </c>
      <c r="M478" s="1024" t="s">
        <v>624</v>
      </c>
      <c r="N478" s="656">
        <v>30</v>
      </c>
      <c r="O478" s="657">
        <v>1582.91</v>
      </c>
      <c r="P478" s="646">
        <f>ROUND(N478*O478*12,0)</f>
        <v>569848</v>
      </c>
      <c r="Q478" s="646">
        <v>626832</v>
      </c>
      <c r="R478" s="658">
        <v>626832</v>
      </c>
      <c r="S478" s="647">
        <v>626832</v>
      </c>
      <c r="T478" s="659">
        <v>626832</v>
      </c>
      <c r="U478" s="215">
        <f>626832-49392</f>
        <v>577440</v>
      </c>
      <c r="V478" s="649">
        <f t="shared" si="126"/>
        <v>577440</v>
      </c>
      <c r="W478" s="40">
        <v>334854</v>
      </c>
      <c r="X478" s="40">
        <f t="shared" si="127"/>
        <v>334854</v>
      </c>
      <c r="Y478" s="40">
        <f t="shared" si="128"/>
        <v>334854</v>
      </c>
      <c r="Z478" s="40">
        <f t="shared" si="129"/>
        <v>334854</v>
      </c>
      <c r="AA478" s="905"/>
      <c r="AE478" s="452"/>
      <c r="AN478" s="268"/>
      <c r="AO478" s="578"/>
      <c r="AP478" s="578"/>
      <c r="AQ478" s="578"/>
      <c r="AR478" s="578"/>
      <c r="AS478" s="578"/>
      <c r="AT478" s="578"/>
      <c r="AU478" s="578"/>
    </row>
    <row r="479" spans="1:47" ht="145.5" customHeight="1">
      <c r="A479" s="998"/>
      <c r="B479" s="1036"/>
      <c r="C479" s="1037"/>
      <c r="D479" s="1037"/>
      <c r="E479" s="1037"/>
      <c r="F479" s="1037"/>
      <c r="G479" s="1037"/>
      <c r="H479" s="1038"/>
      <c r="I479" s="1032"/>
      <c r="J479" s="593">
        <v>111290.53</v>
      </c>
      <c r="K479" s="642">
        <v>91515.574622600005</v>
      </c>
      <c r="L479" s="643">
        <v>213</v>
      </c>
      <c r="M479" s="1028"/>
      <c r="N479" s="650">
        <v>0.31040000000000001</v>
      </c>
      <c r="O479" s="657"/>
      <c r="P479" s="646">
        <f>ROUND(P478*N479,0)</f>
        <v>176881</v>
      </c>
      <c r="Q479" s="646">
        <v>194569</v>
      </c>
      <c r="R479" s="658">
        <v>194569</v>
      </c>
      <c r="S479" s="647">
        <v>194569</v>
      </c>
      <c r="T479" s="659">
        <v>194569</v>
      </c>
      <c r="U479" s="215">
        <f>194569-38.54-15961.82</f>
        <v>178568.63999999998</v>
      </c>
      <c r="V479" s="649">
        <f t="shared" si="126"/>
        <v>178568.63999999998</v>
      </c>
      <c r="W479" s="40">
        <v>103939</v>
      </c>
      <c r="X479" s="40">
        <f t="shared" si="127"/>
        <v>103939</v>
      </c>
      <c r="Y479" s="40">
        <f t="shared" si="128"/>
        <v>103939</v>
      </c>
      <c r="Z479" s="40">
        <f t="shared" si="129"/>
        <v>103939</v>
      </c>
      <c r="AE479" s="452"/>
      <c r="AN479" s="268"/>
      <c r="AO479" s="578"/>
      <c r="AP479" s="578"/>
      <c r="AQ479" s="578"/>
      <c r="AR479" s="578"/>
      <c r="AS479" s="578"/>
      <c r="AT479" s="578"/>
      <c r="AU479" s="578"/>
    </row>
    <row r="480" spans="1:47" ht="51" customHeight="1">
      <c r="A480" s="998" t="s">
        <v>625</v>
      </c>
      <c r="B480" s="1036"/>
      <c r="C480" s="1037"/>
      <c r="D480" s="1037"/>
      <c r="E480" s="1037"/>
      <c r="F480" s="1037"/>
      <c r="G480" s="1037"/>
      <c r="H480" s="1038"/>
      <c r="I480" s="1032"/>
      <c r="J480" s="593">
        <v>40813</v>
      </c>
      <c r="K480" s="642">
        <v>29665.491859199999</v>
      </c>
      <c r="L480" s="643">
        <v>211</v>
      </c>
      <c r="M480" s="1024" t="s">
        <v>626</v>
      </c>
      <c r="N480" s="656">
        <v>2.5</v>
      </c>
      <c r="O480" s="657">
        <v>1452</v>
      </c>
      <c r="P480" s="646">
        <f>ROUND(N480*O480*12,0)</f>
        <v>43560</v>
      </c>
      <c r="Q480" s="646">
        <v>69696</v>
      </c>
      <c r="R480" s="646">
        <v>69696</v>
      </c>
      <c r="S480" s="646">
        <v>69696</v>
      </c>
      <c r="T480" s="659">
        <v>69696</v>
      </c>
      <c r="U480" s="215">
        <v>43439</v>
      </c>
      <c r="V480" s="649">
        <f t="shared" si="126"/>
        <v>43439</v>
      </c>
      <c r="W480" s="40">
        <v>37232</v>
      </c>
      <c r="X480" s="40">
        <f t="shared" si="127"/>
        <v>37232</v>
      </c>
      <c r="Y480" s="40">
        <f t="shared" si="128"/>
        <v>37232</v>
      </c>
      <c r="Z480" s="40">
        <f t="shared" si="129"/>
        <v>37232</v>
      </c>
      <c r="AA480" s="905"/>
      <c r="AE480" s="452"/>
      <c r="AN480" s="268"/>
      <c r="AO480" s="578"/>
      <c r="AP480" s="578"/>
      <c r="AQ480" s="578"/>
      <c r="AR480" s="578"/>
      <c r="AS480" s="578"/>
      <c r="AT480" s="578"/>
      <c r="AU480" s="578"/>
    </row>
    <row r="481" spans="1:47" ht="55.5" customHeight="1">
      <c r="A481" s="998"/>
      <c r="B481" s="1036"/>
      <c r="C481" s="1037"/>
      <c r="D481" s="1037"/>
      <c r="E481" s="1037"/>
      <c r="F481" s="1037"/>
      <c r="G481" s="1037"/>
      <c r="H481" s="1038"/>
      <c r="I481" s="1032"/>
      <c r="J481" s="593">
        <v>12325</v>
      </c>
      <c r="K481" s="642">
        <v>8958.9785414784001</v>
      </c>
      <c r="L481" s="643">
        <v>213</v>
      </c>
      <c r="M481" s="1024"/>
      <c r="N481" s="650">
        <v>0.30199999999999999</v>
      </c>
      <c r="O481" s="657"/>
      <c r="P481" s="646">
        <f>ROUND(P480*N481,0)</f>
        <v>13155</v>
      </c>
      <c r="Q481" s="646">
        <v>21048</v>
      </c>
      <c r="R481" s="658">
        <v>21048</v>
      </c>
      <c r="S481" s="647">
        <v>21048</v>
      </c>
      <c r="T481" s="659">
        <v>21048</v>
      </c>
      <c r="U481" s="215">
        <v>14165</v>
      </c>
      <c r="V481" s="649">
        <f t="shared" si="126"/>
        <v>14165</v>
      </c>
      <c r="W481" s="40">
        <v>11244</v>
      </c>
      <c r="X481" s="40">
        <f t="shared" si="127"/>
        <v>11244</v>
      </c>
      <c r="Y481" s="40">
        <f t="shared" si="128"/>
        <v>11244</v>
      </c>
      <c r="Z481" s="40">
        <f t="shared" si="129"/>
        <v>11244</v>
      </c>
      <c r="AE481" s="452"/>
      <c r="AN481" s="268"/>
      <c r="AO481" s="578"/>
      <c r="AP481" s="578"/>
      <c r="AQ481" s="578"/>
      <c r="AR481" s="578"/>
      <c r="AS481" s="578"/>
      <c r="AT481" s="578"/>
      <c r="AU481" s="578"/>
    </row>
    <row r="482" spans="1:47" ht="73.5" customHeight="1">
      <c r="A482" s="998" t="s">
        <v>627</v>
      </c>
      <c r="B482" s="1036"/>
      <c r="C482" s="1037"/>
      <c r="D482" s="1037"/>
      <c r="E482" s="1037"/>
      <c r="F482" s="1037"/>
      <c r="G482" s="1037"/>
      <c r="H482" s="1038"/>
      <c r="I482" s="1032"/>
      <c r="J482" s="593">
        <v>60119.09</v>
      </c>
      <c r="K482" s="642">
        <v>83434.19585400002</v>
      </c>
      <c r="L482" s="643">
        <v>211</v>
      </c>
      <c r="M482" s="1024" t="s">
        <v>628</v>
      </c>
      <c r="N482" s="656">
        <v>7</v>
      </c>
      <c r="O482" s="657">
        <v>1452</v>
      </c>
      <c r="P482" s="646">
        <f>ROUND(N482*O482*12,0)</f>
        <v>121968</v>
      </c>
      <c r="Q482" s="647">
        <v>121968</v>
      </c>
      <c r="R482" s="647">
        <v>121968</v>
      </c>
      <c r="S482" s="647">
        <v>121968</v>
      </c>
      <c r="T482" s="645">
        <v>121968</v>
      </c>
      <c r="U482" s="648">
        <v>123169</v>
      </c>
      <c r="V482" s="649">
        <f t="shared" si="126"/>
        <v>123169</v>
      </c>
      <c r="W482" s="40">
        <v>65155</v>
      </c>
      <c r="X482" s="40">
        <f t="shared" si="127"/>
        <v>65155</v>
      </c>
      <c r="Y482" s="40">
        <f t="shared" si="128"/>
        <v>65155</v>
      </c>
      <c r="Z482" s="40">
        <f t="shared" si="129"/>
        <v>65155</v>
      </c>
      <c r="AA482" s="905"/>
      <c r="AE482" s="452"/>
      <c r="AN482" s="268"/>
      <c r="AO482" s="578"/>
      <c r="AP482" s="578"/>
      <c r="AQ482" s="578"/>
      <c r="AR482" s="578"/>
      <c r="AS482" s="578"/>
      <c r="AT482" s="578"/>
      <c r="AU482" s="578"/>
    </row>
    <row r="483" spans="1:47" ht="73.5" customHeight="1">
      <c r="A483" s="998"/>
      <c r="B483" s="1036"/>
      <c r="C483" s="1037"/>
      <c r="D483" s="1037"/>
      <c r="E483" s="1037"/>
      <c r="F483" s="1037"/>
      <c r="G483" s="1037"/>
      <c r="H483" s="1038"/>
      <c r="I483" s="1032"/>
      <c r="J483" s="593">
        <v>19166.48</v>
      </c>
      <c r="K483" s="642">
        <v>32706.03</v>
      </c>
      <c r="L483" s="643">
        <v>213</v>
      </c>
      <c r="M483" s="1024"/>
      <c r="N483" s="650">
        <v>0.33300000000000002</v>
      </c>
      <c r="O483" s="657"/>
      <c r="P483" s="646">
        <f>ROUND(P482*N483,0)</f>
        <v>40615</v>
      </c>
      <c r="Q483" s="647">
        <v>40615</v>
      </c>
      <c r="R483" s="647">
        <v>40615</v>
      </c>
      <c r="S483" s="647">
        <v>40615</v>
      </c>
      <c r="T483" s="645">
        <v>40615</v>
      </c>
      <c r="U483" s="648">
        <v>39414</v>
      </c>
      <c r="V483" s="649">
        <f t="shared" si="126"/>
        <v>39414</v>
      </c>
      <c r="W483" s="40">
        <v>21969</v>
      </c>
      <c r="X483" s="40">
        <f t="shared" si="127"/>
        <v>21969</v>
      </c>
      <c r="Y483" s="40">
        <f t="shared" si="128"/>
        <v>21969</v>
      </c>
      <c r="Z483" s="40">
        <f t="shared" si="129"/>
        <v>21969</v>
      </c>
      <c r="AE483" s="452"/>
      <c r="AN483" s="268"/>
      <c r="AO483" s="578"/>
      <c r="AP483" s="578"/>
      <c r="AQ483" s="578"/>
      <c r="AR483" s="578"/>
      <c r="AS483" s="578"/>
      <c r="AT483" s="578"/>
      <c r="AU483" s="578"/>
    </row>
    <row r="484" spans="1:47" ht="39.75" customHeight="1">
      <c r="A484" s="998" t="s">
        <v>629</v>
      </c>
      <c r="B484" s="1036"/>
      <c r="C484" s="1037"/>
      <c r="D484" s="1037"/>
      <c r="E484" s="1037"/>
      <c r="F484" s="1037"/>
      <c r="G484" s="1037"/>
      <c r="H484" s="1038"/>
      <c r="I484" s="1032"/>
      <c r="J484" s="593">
        <v>67083.27</v>
      </c>
      <c r="K484" s="642">
        <v>51914.792474000009</v>
      </c>
      <c r="L484" s="643">
        <v>211</v>
      </c>
      <c r="M484" s="1024" t="s">
        <v>630</v>
      </c>
      <c r="N484" s="656">
        <v>8</v>
      </c>
      <c r="O484" s="594">
        <v>1452</v>
      </c>
      <c r="P484" s="660">
        <f>ROUND(N484*O484*12,0)</f>
        <v>139392</v>
      </c>
      <c r="Q484" s="661">
        <v>121968</v>
      </c>
      <c r="R484" s="661">
        <v>121968</v>
      </c>
      <c r="S484" s="661">
        <v>121968</v>
      </c>
      <c r="T484" s="662">
        <v>121968</v>
      </c>
      <c r="U484" s="648">
        <f>121968+10164</f>
        <v>132132</v>
      </c>
      <c r="V484" s="649">
        <f t="shared" si="126"/>
        <v>132132</v>
      </c>
      <c r="W484" s="40">
        <v>65155</v>
      </c>
      <c r="X484" s="40">
        <f t="shared" si="127"/>
        <v>65155</v>
      </c>
      <c r="Y484" s="40">
        <f t="shared" si="128"/>
        <v>65155</v>
      </c>
      <c r="Z484" s="40">
        <f t="shared" si="129"/>
        <v>65155</v>
      </c>
      <c r="AA484" s="905"/>
      <c r="AE484" s="452"/>
      <c r="AN484" s="268"/>
      <c r="AO484" s="578"/>
      <c r="AP484" s="578"/>
      <c r="AQ484" s="578"/>
      <c r="AR484" s="578"/>
      <c r="AS484" s="578"/>
      <c r="AT484" s="578"/>
      <c r="AU484" s="578"/>
    </row>
    <row r="485" spans="1:47" ht="60.75" customHeight="1">
      <c r="A485" s="998"/>
      <c r="B485" s="1036"/>
      <c r="C485" s="1037"/>
      <c r="D485" s="1037"/>
      <c r="E485" s="1037"/>
      <c r="F485" s="1037"/>
      <c r="G485" s="1037"/>
      <c r="H485" s="1038"/>
      <c r="I485" s="1032"/>
      <c r="J485" s="593">
        <v>21418.959999999999</v>
      </c>
      <c r="K485" s="642">
        <v>18447.055653360003</v>
      </c>
      <c r="L485" s="643">
        <v>213</v>
      </c>
      <c r="M485" s="1024"/>
      <c r="N485" s="650">
        <v>0.30199999999999999</v>
      </c>
      <c r="O485" s="594"/>
      <c r="P485" s="660">
        <f>ROUND(P484*N485,0)</f>
        <v>42096</v>
      </c>
      <c r="Q485" s="661">
        <v>36834</v>
      </c>
      <c r="R485" s="661">
        <v>36834</v>
      </c>
      <c r="S485" s="661">
        <v>36834</v>
      </c>
      <c r="T485" s="662">
        <v>36834</v>
      </c>
      <c r="U485" s="648">
        <f>36834+5857.69</f>
        <v>42691.69</v>
      </c>
      <c r="V485" s="649">
        <f t="shared" si="126"/>
        <v>42691.69</v>
      </c>
      <c r="W485" s="40">
        <v>19676.7</v>
      </c>
      <c r="X485" s="40">
        <f t="shared" si="127"/>
        <v>19676.7</v>
      </c>
      <c r="Y485" s="40">
        <f t="shared" si="128"/>
        <v>19676.7</v>
      </c>
      <c r="Z485" s="40">
        <f t="shared" si="129"/>
        <v>19676.7</v>
      </c>
      <c r="AE485" s="452"/>
      <c r="AN485" s="268"/>
      <c r="AO485" s="578"/>
      <c r="AP485" s="578"/>
      <c r="AQ485" s="578"/>
      <c r="AR485" s="578"/>
      <c r="AS485" s="578"/>
      <c r="AT485" s="578"/>
      <c r="AU485" s="578"/>
    </row>
    <row r="486" spans="1:47" ht="43.5" customHeight="1">
      <c r="A486" s="998" t="s">
        <v>631</v>
      </c>
      <c r="B486" s="1036"/>
      <c r="C486" s="1037"/>
      <c r="D486" s="1037"/>
      <c r="E486" s="1037"/>
      <c r="F486" s="1037"/>
      <c r="G486" s="1037"/>
      <c r="H486" s="1038"/>
      <c r="I486" s="1032"/>
      <c r="J486" s="593">
        <v>17382.8</v>
      </c>
      <c r="K486" s="642">
        <v>7416.37</v>
      </c>
      <c r="L486" s="643">
        <v>211</v>
      </c>
      <c r="M486" s="1025" t="s">
        <v>632</v>
      </c>
      <c r="N486" s="663">
        <v>1</v>
      </c>
      <c r="O486" s="664">
        <v>1452</v>
      </c>
      <c r="P486" s="646">
        <f>ROUND(N486*O486*12,0)</f>
        <v>17424</v>
      </c>
      <c r="Q486" s="646">
        <v>13068</v>
      </c>
      <c r="R486" s="647">
        <v>13068</v>
      </c>
      <c r="S486" s="647">
        <v>13068</v>
      </c>
      <c r="T486" s="659">
        <v>13068</v>
      </c>
      <c r="U486" s="215">
        <v>16916.2</v>
      </c>
      <c r="V486" s="649">
        <f t="shared" si="126"/>
        <v>16916.2</v>
      </c>
      <c r="W486" s="40">
        <v>6981</v>
      </c>
      <c r="X486" s="40">
        <f t="shared" si="127"/>
        <v>6981</v>
      </c>
      <c r="Y486" s="40">
        <f t="shared" si="128"/>
        <v>6981</v>
      </c>
      <c r="Z486" s="40">
        <f t="shared" si="129"/>
        <v>6981</v>
      </c>
      <c r="AA486" s="905"/>
      <c r="AE486" s="452"/>
      <c r="AN486" s="268"/>
      <c r="AO486" s="578"/>
      <c r="AP486" s="578"/>
      <c r="AQ486" s="578"/>
      <c r="AR486" s="578"/>
      <c r="AS486" s="578"/>
      <c r="AT486" s="578"/>
      <c r="AU486" s="578"/>
    </row>
    <row r="487" spans="1:47" ht="58.5" customHeight="1">
      <c r="A487" s="998"/>
      <c r="B487" s="1036"/>
      <c r="C487" s="1037"/>
      <c r="D487" s="1037"/>
      <c r="E487" s="1037"/>
      <c r="F487" s="1037"/>
      <c r="G487" s="1037"/>
      <c r="H487" s="1038"/>
      <c r="I487" s="1032"/>
      <c r="J487" s="593">
        <v>5249.66</v>
      </c>
      <c r="K487" s="642">
        <v>2239.75</v>
      </c>
      <c r="L487" s="643">
        <v>213</v>
      </c>
      <c r="M487" s="1025"/>
      <c r="N487" s="650">
        <v>0.30199999999999999</v>
      </c>
      <c r="O487" s="664"/>
      <c r="P487" s="646">
        <f>ROUND(P486*N487,0)</f>
        <v>5262</v>
      </c>
      <c r="Q487" s="646">
        <v>3947</v>
      </c>
      <c r="R487" s="647">
        <v>3947</v>
      </c>
      <c r="S487" s="647">
        <v>3947</v>
      </c>
      <c r="T487" s="659">
        <v>3947</v>
      </c>
      <c r="U487" s="215">
        <v>5108.6899999999996</v>
      </c>
      <c r="V487" s="649">
        <f t="shared" si="126"/>
        <v>5108.6899999999996</v>
      </c>
      <c r="W487" s="40">
        <v>2108</v>
      </c>
      <c r="X487" s="40">
        <f t="shared" si="127"/>
        <v>2108</v>
      </c>
      <c r="Y487" s="40">
        <f t="shared" si="128"/>
        <v>2108</v>
      </c>
      <c r="Z487" s="40">
        <f t="shared" si="129"/>
        <v>2108</v>
      </c>
      <c r="AE487" s="452"/>
      <c r="AN487" s="268"/>
      <c r="AO487" s="578"/>
      <c r="AP487" s="578"/>
      <c r="AQ487" s="578"/>
      <c r="AR487" s="578"/>
      <c r="AS487" s="578"/>
      <c r="AT487" s="578"/>
      <c r="AU487" s="578"/>
    </row>
    <row r="488" spans="1:47" ht="39" customHeight="1">
      <c r="A488" s="998" t="s">
        <v>633</v>
      </c>
      <c r="B488" s="1036"/>
      <c r="C488" s="1037"/>
      <c r="D488" s="1037"/>
      <c r="E488" s="1037"/>
      <c r="F488" s="1037"/>
      <c r="G488" s="1037"/>
      <c r="H488" s="1038"/>
      <c r="I488" s="1032"/>
      <c r="J488" s="665">
        <v>12785.14</v>
      </c>
      <c r="K488" s="642">
        <v>14832.845875820001</v>
      </c>
      <c r="L488" s="643">
        <v>211</v>
      </c>
      <c r="M488" s="1024" t="s">
        <v>634</v>
      </c>
      <c r="N488" s="656">
        <v>2</v>
      </c>
      <c r="O488" s="657">
        <v>1452</v>
      </c>
      <c r="P488" s="646">
        <f>ROUND(N488*O488*12,0)</f>
        <v>34848</v>
      </c>
      <c r="Q488" s="646">
        <v>17424</v>
      </c>
      <c r="R488" s="658">
        <v>17424</v>
      </c>
      <c r="S488" s="647">
        <v>17424</v>
      </c>
      <c r="T488" s="659">
        <v>17424</v>
      </c>
      <c r="U488" s="215">
        <v>34848</v>
      </c>
      <c r="V488" s="648">
        <f t="shared" si="126"/>
        <v>34848</v>
      </c>
      <c r="W488" s="40">
        <v>9308</v>
      </c>
      <c r="X488" s="40">
        <f t="shared" si="127"/>
        <v>9308</v>
      </c>
      <c r="Y488" s="40">
        <f t="shared" si="128"/>
        <v>9308</v>
      </c>
      <c r="Z488" s="40">
        <f t="shared" si="129"/>
        <v>9308</v>
      </c>
      <c r="AA488" s="905"/>
      <c r="AE488" s="452"/>
      <c r="AN488" s="268"/>
      <c r="AO488" s="578"/>
      <c r="AP488" s="578"/>
      <c r="AQ488" s="578"/>
      <c r="AR488" s="578"/>
      <c r="AS488" s="578"/>
      <c r="AT488" s="578"/>
      <c r="AU488" s="578"/>
    </row>
    <row r="489" spans="1:47" ht="62.25" customHeight="1">
      <c r="A489" s="998"/>
      <c r="B489" s="1036"/>
      <c r="C489" s="1037"/>
      <c r="D489" s="1037"/>
      <c r="E489" s="1037"/>
      <c r="F489" s="1037"/>
      <c r="G489" s="1037"/>
      <c r="H489" s="1038"/>
      <c r="I489" s="1032"/>
      <c r="J489" s="665">
        <v>3861.13</v>
      </c>
      <c r="K489" s="642">
        <v>4479.4078600000003</v>
      </c>
      <c r="L489" s="643">
        <v>213</v>
      </c>
      <c r="M489" s="1024"/>
      <c r="N489" s="650">
        <v>0.39200000000000002</v>
      </c>
      <c r="O489" s="657"/>
      <c r="P489" s="646">
        <f>ROUND(P488*N489,0)</f>
        <v>13660</v>
      </c>
      <c r="Q489" s="646">
        <v>6830</v>
      </c>
      <c r="R489" s="658">
        <v>6830</v>
      </c>
      <c r="S489" s="647">
        <v>6830</v>
      </c>
      <c r="T489" s="659">
        <v>6830</v>
      </c>
      <c r="U489" s="215">
        <v>13660</v>
      </c>
      <c r="V489" s="648">
        <f t="shared" si="126"/>
        <v>13660</v>
      </c>
      <c r="W489" s="40">
        <v>3649</v>
      </c>
      <c r="X489" s="40">
        <f t="shared" si="127"/>
        <v>3649</v>
      </c>
      <c r="Y489" s="40">
        <f t="shared" si="128"/>
        <v>3649</v>
      </c>
      <c r="Z489" s="40">
        <f t="shared" si="129"/>
        <v>3649</v>
      </c>
      <c r="AE489" s="452"/>
      <c r="AN489" s="268"/>
      <c r="AO489" s="578"/>
      <c r="AP489" s="578"/>
      <c r="AQ489" s="578"/>
      <c r="AR489" s="578"/>
      <c r="AS489" s="578"/>
      <c r="AT489" s="578"/>
      <c r="AU489" s="578"/>
    </row>
    <row r="490" spans="1:47" ht="40.5" customHeight="1">
      <c r="A490" s="998" t="s">
        <v>635</v>
      </c>
      <c r="B490" s="1036"/>
      <c r="C490" s="1037"/>
      <c r="D490" s="1037"/>
      <c r="E490" s="1037"/>
      <c r="F490" s="1037"/>
      <c r="G490" s="1037"/>
      <c r="H490" s="1038"/>
      <c r="I490" s="1032"/>
      <c r="J490" s="665">
        <v>12785.14</v>
      </c>
      <c r="K490" s="642">
        <v>14832.845875820001</v>
      </c>
      <c r="L490" s="643">
        <v>211</v>
      </c>
      <c r="M490" s="1024" t="s">
        <v>636</v>
      </c>
      <c r="N490" s="656">
        <v>4</v>
      </c>
      <c r="O490" s="657">
        <v>1452</v>
      </c>
      <c r="P490" s="646">
        <f>ROUND(N490*O490*12,0)</f>
        <v>69696</v>
      </c>
      <c r="Q490" s="646">
        <v>17424</v>
      </c>
      <c r="R490" s="658">
        <v>17424</v>
      </c>
      <c r="S490" s="647">
        <v>17424</v>
      </c>
      <c r="T490" s="659">
        <v>17424</v>
      </c>
      <c r="U490" s="215">
        <v>69696</v>
      </c>
      <c r="V490" s="648">
        <f t="shared" si="126"/>
        <v>69696</v>
      </c>
      <c r="W490" s="40">
        <v>37232</v>
      </c>
      <c r="X490" s="40">
        <f t="shared" si="127"/>
        <v>37232</v>
      </c>
      <c r="Y490" s="40">
        <f>W490</f>
        <v>37232</v>
      </c>
      <c r="Z490" s="40">
        <f t="shared" si="129"/>
        <v>37232</v>
      </c>
      <c r="AA490" s="905"/>
      <c r="AE490" s="452"/>
      <c r="AN490" s="268"/>
      <c r="AO490" s="578"/>
      <c r="AP490" s="578"/>
      <c r="AQ490" s="578"/>
      <c r="AR490" s="578"/>
      <c r="AS490" s="578"/>
      <c r="AT490" s="578"/>
      <c r="AU490" s="578"/>
    </row>
    <row r="491" spans="1:47" ht="61.5" customHeight="1">
      <c r="A491" s="998"/>
      <c r="B491" s="1036"/>
      <c r="C491" s="1037"/>
      <c r="D491" s="1037"/>
      <c r="E491" s="1037"/>
      <c r="F491" s="1037"/>
      <c r="G491" s="1037"/>
      <c r="H491" s="1038"/>
      <c r="I491" s="1032"/>
      <c r="J491" s="665">
        <v>3861.13</v>
      </c>
      <c r="K491" s="642">
        <v>4479.4078600000003</v>
      </c>
      <c r="L491" s="643">
        <v>213</v>
      </c>
      <c r="M491" s="1024"/>
      <c r="N491" s="650">
        <v>0.39200000000000002</v>
      </c>
      <c r="O491" s="657"/>
      <c r="P491" s="646">
        <f>ROUND(P490*N491,0)</f>
        <v>27321</v>
      </c>
      <c r="Q491" s="646">
        <v>6830</v>
      </c>
      <c r="R491" s="658">
        <v>6830</v>
      </c>
      <c r="S491" s="647">
        <v>6830</v>
      </c>
      <c r="T491" s="659">
        <v>6830</v>
      </c>
      <c r="U491" s="215">
        <v>22094</v>
      </c>
      <c r="V491" s="648">
        <f t="shared" si="126"/>
        <v>22094</v>
      </c>
      <c r="W491" s="40">
        <v>11803</v>
      </c>
      <c r="X491" s="40">
        <f t="shared" si="127"/>
        <v>11803</v>
      </c>
      <c r="Y491" s="40">
        <f>W491</f>
        <v>11803</v>
      </c>
      <c r="Z491" s="40">
        <f t="shared" si="129"/>
        <v>11803</v>
      </c>
      <c r="AE491" s="452"/>
      <c r="AN491" s="268"/>
      <c r="AO491" s="578"/>
      <c r="AP491" s="578"/>
      <c r="AQ491" s="578"/>
      <c r="AR491" s="578"/>
      <c r="AS491" s="578"/>
      <c r="AT491" s="578"/>
      <c r="AU491" s="578"/>
    </row>
    <row r="492" spans="1:47" ht="68.25" customHeight="1">
      <c r="A492" s="998" t="s">
        <v>637</v>
      </c>
      <c r="B492" s="1036"/>
      <c r="C492" s="1037"/>
      <c r="D492" s="1037"/>
      <c r="E492" s="1037"/>
      <c r="F492" s="1037"/>
      <c r="G492" s="1037"/>
      <c r="H492" s="1038"/>
      <c r="I492" s="1032"/>
      <c r="J492" s="593">
        <v>91365.6</v>
      </c>
      <c r="K492" s="642">
        <v>89109.323946000004</v>
      </c>
      <c r="L492" s="643">
        <v>211</v>
      </c>
      <c r="M492" s="1014" t="s">
        <v>638</v>
      </c>
      <c r="N492" s="666">
        <v>15</v>
      </c>
      <c r="O492" s="667">
        <v>1644</v>
      </c>
      <c r="P492" s="646">
        <f>ROUND(N492*O492*12,0)</f>
        <v>295920</v>
      </c>
      <c r="Q492" s="668">
        <v>98640</v>
      </c>
      <c r="R492" s="668">
        <v>98640</v>
      </c>
      <c r="S492" s="668">
        <v>98640</v>
      </c>
      <c r="T492" s="669">
        <v>98640</v>
      </c>
      <c r="U492" s="670">
        <v>228000</v>
      </c>
      <c r="V492" s="649">
        <f t="shared" si="126"/>
        <v>228000</v>
      </c>
      <c r="W492" s="40">
        <v>52693</v>
      </c>
      <c r="X492" s="40">
        <f t="shared" si="127"/>
        <v>52693</v>
      </c>
      <c r="Y492" s="40">
        <f t="shared" si="128"/>
        <v>52693</v>
      </c>
      <c r="Z492" s="40">
        <f t="shared" si="129"/>
        <v>52693</v>
      </c>
      <c r="AA492" s="905"/>
      <c r="AE492" s="452"/>
      <c r="AN492" s="268"/>
      <c r="AO492" s="578"/>
      <c r="AP492" s="578"/>
      <c r="AQ492" s="578"/>
      <c r="AR492" s="578"/>
      <c r="AS492" s="578"/>
      <c r="AT492" s="578"/>
      <c r="AU492" s="578"/>
    </row>
    <row r="493" spans="1:47" ht="84.75" customHeight="1">
      <c r="A493" s="998"/>
      <c r="B493" s="1036"/>
      <c r="C493" s="1037"/>
      <c r="D493" s="1037"/>
      <c r="E493" s="1037"/>
      <c r="F493" s="1037"/>
      <c r="G493" s="1037"/>
      <c r="H493" s="1038"/>
      <c r="I493" s="1032"/>
      <c r="J493" s="593">
        <v>27201.5</v>
      </c>
      <c r="K493" s="642">
        <v>26910.974036000003</v>
      </c>
      <c r="L493" s="643">
        <v>213</v>
      </c>
      <c r="M493" s="1008"/>
      <c r="N493" s="650">
        <v>0.30199999999999999</v>
      </c>
      <c r="O493" s="671"/>
      <c r="P493" s="646">
        <f>ROUND(P492*N493,0)</f>
        <v>89368</v>
      </c>
      <c r="Q493" s="647">
        <v>29789</v>
      </c>
      <c r="R493" s="647">
        <v>29789</v>
      </c>
      <c r="S493" s="647">
        <v>29789</v>
      </c>
      <c r="T493" s="645">
        <v>29789</v>
      </c>
      <c r="U493" s="648">
        <v>68040</v>
      </c>
      <c r="V493" s="649">
        <f t="shared" si="126"/>
        <v>68040</v>
      </c>
      <c r="W493" s="40">
        <v>15913</v>
      </c>
      <c r="X493" s="40">
        <f t="shared" si="127"/>
        <v>15913</v>
      </c>
      <c r="Y493" s="40">
        <f t="shared" si="128"/>
        <v>15913</v>
      </c>
      <c r="Z493" s="40">
        <f t="shared" si="129"/>
        <v>15913</v>
      </c>
      <c r="AE493" s="452"/>
      <c r="AN493" s="268"/>
      <c r="AO493" s="578"/>
      <c r="AP493" s="578"/>
      <c r="AQ493" s="578"/>
      <c r="AR493" s="578"/>
      <c r="AS493" s="578"/>
      <c r="AT493" s="578"/>
      <c r="AU493" s="578"/>
    </row>
    <row r="494" spans="1:47" ht="133.5" customHeight="1">
      <c r="A494" s="998" t="s">
        <v>639</v>
      </c>
      <c r="B494" s="1036"/>
      <c r="C494" s="1037"/>
      <c r="D494" s="1037"/>
      <c r="E494" s="1037"/>
      <c r="F494" s="1037"/>
      <c r="G494" s="1037"/>
      <c r="H494" s="1038"/>
      <c r="I494" s="1032"/>
      <c r="J494" s="642">
        <v>333851.11</v>
      </c>
      <c r="K494" s="642">
        <v>248074.26841506004</v>
      </c>
      <c r="L494" s="643">
        <v>211</v>
      </c>
      <c r="M494" s="1007" t="s">
        <v>640</v>
      </c>
      <c r="N494" s="672">
        <v>23</v>
      </c>
      <c r="O494" s="657">
        <v>1572</v>
      </c>
      <c r="P494" s="646">
        <f>ROUND(N494*O494*12,0)</f>
        <v>433872</v>
      </c>
      <c r="Q494" s="658">
        <v>415008</v>
      </c>
      <c r="R494" s="658">
        <v>415008</v>
      </c>
      <c r="S494" s="647">
        <v>415008</v>
      </c>
      <c r="T494" s="657">
        <v>415008</v>
      </c>
      <c r="U494" s="673">
        <v>419364</v>
      </c>
      <c r="V494" s="649">
        <f t="shared" si="126"/>
        <v>419364</v>
      </c>
      <c r="W494" s="40">
        <v>221697</v>
      </c>
      <c r="X494" s="40">
        <f t="shared" si="127"/>
        <v>221697</v>
      </c>
      <c r="Y494" s="40">
        <f t="shared" si="128"/>
        <v>221697</v>
      </c>
      <c r="Z494" s="40">
        <f t="shared" si="129"/>
        <v>221697</v>
      </c>
      <c r="AA494" s="905"/>
      <c r="AE494" s="452"/>
      <c r="AN494" s="268"/>
      <c r="AO494" s="578"/>
      <c r="AP494" s="578"/>
      <c r="AQ494" s="578"/>
      <c r="AR494" s="578"/>
      <c r="AS494" s="578"/>
      <c r="AT494" s="578"/>
      <c r="AU494" s="578"/>
    </row>
    <row r="495" spans="1:47" ht="133.5" customHeight="1">
      <c r="A495" s="998"/>
      <c r="B495" s="1036"/>
      <c r="C495" s="1037"/>
      <c r="D495" s="1037"/>
      <c r="E495" s="1037"/>
      <c r="F495" s="1037"/>
      <c r="G495" s="1037"/>
      <c r="H495" s="1038"/>
      <c r="I495" s="1032"/>
      <c r="J495" s="642">
        <v>107683.36</v>
      </c>
      <c r="K495" s="642">
        <v>74918.432641240011</v>
      </c>
      <c r="L495" s="643">
        <v>213</v>
      </c>
      <c r="M495" s="1007"/>
      <c r="N495" s="650">
        <v>0.30199999999999999</v>
      </c>
      <c r="O495" s="674"/>
      <c r="P495" s="646">
        <f>ROUND(P494*N495,0)</f>
        <v>131029</v>
      </c>
      <c r="Q495" s="658">
        <v>125332</v>
      </c>
      <c r="R495" s="658">
        <v>125332</v>
      </c>
      <c r="S495" s="658">
        <v>125332</v>
      </c>
      <c r="T495" s="657">
        <v>125332</v>
      </c>
      <c r="U495" s="673">
        <v>126648</v>
      </c>
      <c r="V495" s="649">
        <f t="shared" si="126"/>
        <v>126648</v>
      </c>
      <c r="W495" s="40">
        <v>66952</v>
      </c>
      <c r="X495" s="40">
        <f t="shared" si="127"/>
        <v>66952</v>
      </c>
      <c r="Y495" s="40">
        <f t="shared" si="128"/>
        <v>66952</v>
      </c>
      <c r="Z495" s="40">
        <f t="shared" si="129"/>
        <v>66952</v>
      </c>
      <c r="AE495" s="452"/>
      <c r="AN495" s="268"/>
      <c r="AO495" s="578"/>
      <c r="AP495" s="578"/>
      <c r="AQ495" s="578"/>
      <c r="AR495" s="578"/>
      <c r="AS495" s="578"/>
      <c r="AT495" s="578"/>
      <c r="AU495" s="578"/>
    </row>
    <row r="496" spans="1:47" ht="108" customHeight="1">
      <c r="A496" s="998" t="s">
        <v>641</v>
      </c>
      <c r="B496" s="1036"/>
      <c r="C496" s="1037"/>
      <c r="D496" s="1037"/>
      <c r="E496" s="1037"/>
      <c r="F496" s="1037"/>
      <c r="G496" s="1037"/>
      <c r="H496" s="1038"/>
      <c r="I496" s="1032"/>
      <c r="J496" s="593">
        <v>203618.27</v>
      </c>
      <c r="K496" s="642">
        <v>171758.48767200002</v>
      </c>
      <c r="L496" s="643">
        <v>211</v>
      </c>
      <c r="M496" s="1007" t="s">
        <v>642</v>
      </c>
      <c r="N496" s="656">
        <v>17</v>
      </c>
      <c r="O496" s="657">
        <v>1572</v>
      </c>
      <c r="P496" s="646">
        <f>ROUND(N496*O496*12,0)</f>
        <v>320688</v>
      </c>
      <c r="Q496" s="647">
        <v>301824</v>
      </c>
      <c r="R496" s="647">
        <v>301824</v>
      </c>
      <c r="S496" s="647">
        <v>301824</v>
      </c>
      <c r="T496" s="645">
        <v>301824</v>
      </c>
      <c r="U496" s="648">
        <v>315021.59999999998</v>
      </c>
      <c r="V496" s="649">
        <f t="shared" si="126"/>
        <v>315021.59999999998</v>
      </c>
      <c r="W496" s="40">
        <v>161234</v>
      </c>
      <c r="X496" s="40">
        <f t="shared" si="127"/>
        <v>161234</v>
      </c>
      <c r="Y496" s="40">
        <f t="shared" si="128"/>
        <v>161234</v>
      </c>
      <c r="Z496" s="40">
        <f t="shared" si="129"/>
        <v>161234</v>
      </c>
      <c r="AA496" s="905"/>
      <c r="AE496" s="452"/>
      <c r="AN496" s="268"/>
      <c r="AO496" s="578"/>
      <c r="AP496" s="578"/>
      <c r="AQ496" s="578"/>
      <c r="AR496" s="578"/>
      <c r="AS496" s="578"/>
      <c r="AT496" s="578"/>
      <c r="AU496" s="578"/>
    </row>
    <row r="497" spans="1:47" ht="104.25" customHeight="1">
      <c r="A497" s="998"/>
      <c r="B497" s="1036"/>
      <c r="C497" s="1037"/>
      <c r="D497" s="1037"/>
      <c r="E497" s="1037"/>
      <c r="F497" s="1037"/>
      <c r="G497" s="1037"/>
      <c r="H497" s="1038"/>
      <c r="I497" s="1032"/>
      <c r="J497" s="593">
        <v>62799.67</v>
      </c>
      <c r="K497" s="642">
        <v>51871.179578000003</v>
      </c>
      <c r="L497" s="643">
        <v>213</v>
      </c>
      <c r="M497" s="1007"/>
      <c r="N497" s="650">
        <v>0.30199999999999999</v>
      </c>
      <c r="O497" s="657"/>
      <c r="P497" s="646">
        <f>ROUND(P496*N497,0)</f>
        <v>96848</v>
      </c>
      <c r="Q497" s="647">
        <v>91151</v>
      </c>
      <c r="R497" s="647">
        <v>91151</v>
      </c>
      <c r="S497" s="647">
        <v>91151</v>
      </c>
      <c r="T497" s="645">
        <v>91151</v>
      </c>
      <c r="U497" s="648">
        <v>95136.52</v>
      </c>
      <c r="V497" s="649">
        <f t="shared" si="126"/>
        <v>95136.52</v>
      </c>
      <c r="W497" s="40">
        <v>48693</v>
      </c>
      <c r="X497" s="40">
        <f t="shared" si="127"/>
        <v>48693</v>
      </c>
      <c r="Y497" s="40">
        <f t="shared" si="128"/>
        <v>48693</v>
      </c>
      <c r="Z497" s="40">
        <f t="shared" si="129"/>
        <v>48693</v>
      </c>
      <c r="AE497" s="452"/>
      <c r="AN497" s="268"/>
      <c r="AO497" s="578"/>
      <c r="AP497" s="578"/>
      <c r="AQ497" s="578"/>
      <c r="AR497" s="578"/>
      <c r="AS497" s="578"/>
      <c r="AT497" s="578"/>
      <c r="AU497" s="578"/>
    </row>
    <row r="498" spans="1:47" ht="89.25" customHeight="1">
      <c r="A498" s="998" t="s">
        <v>643</v>
      </c>
      <c r="B498" s="1036"/>
      <c r="C498" s="1037"/>
      <c r="D498" s="1037"/>
      <c r="E498" s="1037"/>
      <c r="F498" s="1037"/>
      <c r="G498" s="1037"/>
      <c r="H498" s="1038"/>
      <c r="I498" s="1032"/>
      <c r="J498" s="593">
        <v>31937.79</v>
      </c>
      <c r="K498" s="642">
        <v>32339.870986000002</v>
      </c>
      <c r="L498" s="643">
        <v>211</v>
      </c>
      <c r="M498" s="1023" t="s">
        <v>644</v>
      </c>
      <c r="N498" s="656">
        <v>2</v>
      </c>
      <c r="O498" s="594">
        <v>1532</v>
      </c>
      <c r="P498" s="660">
        <f>ROUND(N498*O498*12,0)</f>
        <v>36768</v>
      </c>
      <c r="Q498" s="675">
        <v>55152</v>
      </c>
      <c r="R498" s="598">
        <v>55152</v>
      </c>
      <c r="S498" s="675">
        <v>55152</v>
      </c>
      <c r="T498" s="642">
        <v>55152</v>
      </c>
      <c r="U498" s="648">
        <f>37728-6528</f>
        <v>31200</v>
      </c>
      <c r="V498" s="649">
        <f t="shared" si="126"/>
        <v>31200</v>
      </c>
      <c r="W498" s="40">
        <v>29462</v>
      </c>
      <c r="X498" s="40">
        <f t="shared" si="127"/>
        <v>29462</v>
      </c>
      <c r="Y498" s="40">
        <f t="shared" si="128"/>
        <v>29462</v>
      </c>
      <c r="Z498" s="40">
        <f t="shared" si="129"/>
        <v>29462</v>
      </c>
      <c r="AA498" s="905"/>
      <c r="AE498" s="452"/>
      <c r="AN498" s="268"/>
      <c r="AO498" s="578"/>
      <c r="AP498" s="578"/>
      <c r="AQ498" s="578"/>
      <c r="AR498" s="578"/>
      <c r="AS498" s="578"/>
      <c r="AT498" s="578"/>
      <c r="AU498" s="578"/>
    </row>
    <row r="499" spans="1:47" ht="63" customHeight="1">
      <c r="A499" s="998"/>
      <c r="B499" s="1036"/>
      <c r="C499" s="1037"/>
      <c r="D499" s="1037"/>
      <c r="E499" s="1037"/>
      <c r="F499" s="1037"/>
      <c r="G499" s="1037"/>
      <c r="H499" s="1038"/>
      <c r="I499" s="1032"/>
      <c r="J499" s="593">
        <v>9645.2099999999991</v>
      </c>
      <c r="K499" s="642">
        <v>9766.5400000000009</v>
      </c>
      <c r="L499" s="643">
        <v>213</v>
      </c>
      <c r="M499" s="1023"/>
      <c r="N499" s="650">
        <v>0.30199999999999999</v>
      </c>
      <c r="O499" s="594"/>
      <c r="P499" s="660">
        <f>ROUND(P498*N499,0)</f>
        <v>11104</v>
      </c>
      <c r="Q499" s="675">
        <v>16656</v>
      </c>
      <c r="R499" s="598">
        <v>16656</v>
      </c>
      <c r="S499" s="675">
        <v>16656</v>
      </c>
      <c r="T499" s="642">
        <v>16656</v>
      </c>
      <c r="U499" s="648">
        <f>11393.86-1971.45</f>
        <v>9422.41</v>
      </c>
      <c r="V499" s="649">
        <f t="shared" si="126"/>
        <v>9422.41</v>
      </c>
      <c r="W499" s="40">
        <v>8898</v>
      </c>
      <c r="X499" s="40">
        <f t="shared" si="127"/>
        <v>8898</v>
      </c>
      <c r="Y499" s="40">
        <f t="shared" si="128"/>
        <v>8898</v>
      </c>
      <c r="Z499" s="40">
        <f t="shared" si="129"/>
        <v>8898</v>
      </c>
      <c r="AE499" s="452"/>
      <c r="AN499" s="268"/>
      <c r="AO499" s="578"/>
      <c r="AP499" s="578"/>
      <c r="AQ499" s="578"/>
      <c r="AR499" s="578"/>
      <c r="AS499" s="578"/>
      <c r="AT499" s="578"/>
      <c r="AU499" s="578"/>
    </row>
    <row r="500" spans="1:47" ht="45.75" customHeight="1">
      <c r="A500" s="998" t="s">
        <v>645</v>
      </c>
      <c r="B500" s="1036"/>
      <c r="C500" s="1037"/>
      <c r="D500" s="1037"/>
      <c r="E500" s="1037"/>
      <c r="F500" s="1037"/>
      <c r="G500" s="1037"/>
      <c r="H500" s="1038"/>
      <c r="I500" s="1032"/>
      <c r="J500" s="593">
        <v>32135.3</v>
      </c>
      <c r="K500" s="642">
        <v>18173.003118119999</v>
      </c>
      <c r="L500" s="643">
        <v>211</v>
      </c>
      <c r="M500" s="1007" t="s">
        <v>646</v>
      </c>
      <c r="N500" s="656">
        <v>2</v>
      </c>
      <c r="O500" s="657">
        <v>1360.5</v>
      </c>
      <c r="P500" s="646">
        <f>ROUND(N500*O500*12,0)</f>
        <v>32652</v>
      </c>
      <c r="Q500" s="658">
        <v>32652</v>
      </c>
      <c r="R500" s="658">
        <v>32652</v>
      </c>
      <c r="S500" s="647">
        <v>32652</v>
      </c>
      <c r="T500" s="657">
        <v>32652</v>
      </c>
      <c r="U500" s="673">
        <v>32652</v>
      </c>
      <c r="V500" s="649">
        <f t="shared" si="126"/>
        <v>32652</v>
      </c>
      <c r="W500" s="40">
        <v>17443</v>
      </c>
      <c r="X500" s="40">
        <f t="shared" si="127"/>
        <v>17443</v>
      </c>
      <c r="Y500" s="40">
        <f t="shared" si="128"/>
        <v>17443</v>
      </c>
      <c r="Z500" s="40">
        <f t="shared" si="129"/>
        <v>17443</v>
      </c>
      <c r="AA500" s="905"/>
      <c r="AE500" s="452"/>
      <c r="AN500" s="268"/>
      <c r="AO500" s="578"/>
      <c r="AP500" s="578"/>
      <c r="AQ500" s="578"/>
      <c r="AR500" s="578"/>
      <c r="AS500" s="578"/>
      <c r="AT500" s="578"/>
      <c r="AU500" s="578"/>
    </row>
    <row r="501" spans="1:47" ht="66" customHeight="1">
      <c r="A501" s="998"/>
      <c r="B501" s="1036"/>
      <c r="C501" s="1037"/>
      <c r="D501" s="1037"/>
      <c r="E501" s="1037"/>
      <c r="F501" s="1037"/>
      <c r="G501" s="1037"/>
      <c r="H501" s="1038"/>
      <c r="I501" s="1032"/>
      <c r="J501" s="593">
        <v>10491.19</v>
      </c>
      <c r="K501" s="642">
        <v>5933.19831806</v>
      </c>
      <c r="L501" s="643">
        <v>213</v>
      </c>
      <c r="M501" s="1008"/>
      <c r="N501" s="650">
        <v>0.33400000000000002</v>
      </c>
      <c r="O501" s="657"/>
      <c r="P501" s="646">
        <f>ROUND(P500*N501,0)</f>
        <v>10906</v>
      </c>
      <c r="Q501" s="658">
        <v>10906</v>
      </c>
      <c r="R501" s="658">
        <v>10906</v>
      </c>
      <c r="S501" s="647">
        <v>10906</v>
      </c>
      <c r="T501" s="657">
        <v>10906</v>
      </c>
      <c r="U501" s="673">
        <v>10906.36</v>
      </c>
      <c r="V501" s="649">
        <f t="shared" si="126"/>
        <v>10906.36</v>
      </c>
      <c r="W501" s="40">
        <v>5826</v>
      </c>
      <c r="X501" s="40">
        <f t="shared" si="127"/>
        <v>5826</v>
      </c>
      <c r="Y501" s="40">
        <f t="shared" si="128"/>
        <v>5826</v>
      </c>
      <c r="Z501" s="40">
        <f t="shared" si="129"/>
        <v>5826</v>
      </c>
      <c r="AE501" s="452"/>
      <c r="AN501" s="268"/>
      <c r="AO501" s="578"/>
      <c r="AP501" s="578"/>
      <c r="AQ501" s="578"/>
      <c r="AR501" s="578"/>
      <c r="AS501" s="578"/>
      <c r="AT501" s="578"/>
      <c r="AU501" s="578"/>
    </row>
    <row r="502" spans="1:47" ht="39" customHeight="1">
      <c r="A502" s="998" t="s">
        <v>647</v>
      </c>
      <c r="B502" s="1036"/>
      <c r="C502" s="1037"/>
      <c r="D502" s="1037"/>
      <c r="E502" s="1037"/>
      <c r="F502" s="1037"/>
      <c r="G502" s="1037"/>
      <c r="H502" s="1038"/>
      <c r="I502" s="1032"/>
      <c r="J502" s="593">
        <v>36271.53</v>
      </c>
      <c r="K502" s="642">
        <v>29777.613346000002</v>
      </c>
      <c r="L502" s="643">
        <v>211</v>
      </c>
      <c r="M502" s="1007" t="s">
        <v>648</v>
      </c>
      <c r="N502" s="672">
        <v>2</v>
      </c>
      <c r="O502" s="657">
        <v>1572</v>
      </c>
      <c r="P502" s="646">
        <f>ROUND(N502*O502*12,0)</f>
        <v>37728</v>
      </c>
      <c r="Q502" s="646">
        <v>37728</v>
      </c>
      <c r="R502" s="646">
        <v>37728</v>
      </c>
      <c r="S502" s="646">
        <v>37728</v>
      </c>
      <c r="T502" s="659">
        <v>37728</v>
      </c>
      <c r="U502" s="215">
        <v>37728</v>
      </c>
      <c r="V502" s="649">
        <f t="shared" si="126"/>
        <v>37728</v>
      </c>
      <c r="W502" s="40">
        <v>20154</v>
      </c>
      <c r="X502" s="40">
        <f t="shared" si="127"/>
        <v>20154</v>
      </c>
      <c r="Y502" s="40">
        <f t="shared" si="128"/>
        <v>20154</v>
      </c>
      <c r="Z502" s="40">
        <f t="shared" si="129"/>
        <v>20154</v>
      </c>
      <c r="AA502" s="905"/>
      <c r="AE502" s="452"/>
      <c r="AN502" s="268"/>
      <c r="AO502" s="578"/>
      <c r="AP502" s="578"/>
      <c r="AQ502" s="578"/>
      <c r="AR502" s="578"/>
      <c r="AS502" s="578"/>
      <c r="AT502" s="578"/>
      <c r="AU502" s="578"/>
    </row>
    <row r="503" spans="1:47" ht="69" customHeight="1">
      <c r="A503" s="998"/>
      <c r="B503" s="1036"/>
      <c r="C503" s="1037"/>
      <c r="D503" s="1037"/>
      <c r="E503" s="1037"/>
      <c r="F503" s="1037"/>
      <c r="G503" s="1037"/>
      <c r="H503" s="1038"/>
      <c r="I503" s="1032"/>
      <c r="J503" s="593">
        <v>10954.04</v>
      </c>
      <c r="K503" s="642">
        <v>8992.4339940000009</v>
      </c>
      <c r="L503" s="643">
        <v>213</v>
      </c>
      <c r="M503" s="1007"/>
      <c r="N503" s="650">
        <v>0.30199999999999999</v>
      </c>
      <c r="O503" s="657"/>
      <c r="P503" s="646">
        <f>ROUND(P502*N503,0)</f>
        <v>11394</v>
      </c>
      <c r="Q503" s="646">
        <v>11394</v>
      </c>
      <c r="R503" s="646">
        <v>11394</v>
      </c>
      <c r="S503" s="646">
        <v>11394</v>
      </c>
      <c r="T503" s="659">
        <v>11394</v>
      </c>
      <c r="U503" s="215">
        <v>11394</v>
      </c>
      <c r="V503" s="649">
        <f t="shared" si="126"/>
        <v>11394</v>
      </c>
      <c r="W503" s="40">
        <v>6087</v>
      </c>
      <c r="X503" s="40">
        <f t="shared" si="127"/>
        <v>6087</v>
      </c>
      <c r="Y503" s="40">
        <f t="shared" si="128"/>
        <v>6087</v>
      </c>
      <c r="Z503" s="40">
        <f t="shared" si="129"/>
        <v>6087</v>
      </c>
      <c r="AE503" s="452"/>
      <c r="AN503" s="268"/>
      <c r="AO503" s="578"/>
      <c r="AP503" s="578"/>
      <c r="AQ503" s="578"/>
      <c r="AR503" s="578"/>
      <c r="AS503" s="578"/>
      <c r="AT503" s="578"/>
      <c r="AU503" s="578"/>
    </row>
    <row r="504" spans="1:47" ht="44.25" customHeight="1">
      <c r="A504" s="981" t="s">
        <v>649</v>
      </c>
      <c r="B504" s="1036"/>
      <c r="C504" s="1037"/>
      <c r="D504" s="1037"/>
      <c r="E504" s="1037"/>
      <c r="F504" s="1037"/>
      <c r="G504" s="1037"/>
      <c r="H504" s="1038"/>
      <c r="I504" s="1032"/>
      <c r="J504" s="593">
        <v>24031</v>
      </c>
      <c r="K504" s="642">
        <v>19135.376184480003</v>
      </c>
      <c r="L504" s="643">
        <v>211</v>
      </c>
      <c r="M504" s="1022" t="s">
        <v>650</v>
      </c>
      <c r="N504" s="676">
        <v>1</v>
      </c>
      <c r="O504" s="677">
        <v>1250</v>
      </c>
      <c r="P504" s="646">
        <f>ROUND(N504*O504*12,0)</f>
        <v>15000</v>
      </c>
      <c r="Q504" s="646">
        <v>45000</v>
      </c>
      <c r="R504" s="646">
        <v>45000</v>
      </c>
      <c r="S504" s="646">
        <v>45000</v>
      </c>
      <c r="T504" s="659">
        <v>45000</v>
      </c>
      <c r="U504" s="215">
        <v>17424</v>
      </c>
      <c r="V504" s="649">
        <f t="shared" si="126"/>
        <v>17424</v>
      </c>
      <c r="W504" s="40">
        <v>24039</v>
      </c>
      <c r="X504" s="40">
        <f t="shared" si="127"/>
        <v>24039</v>
      </c>
      <c r="Y504" s="40">
        <f t="shared" si="128"/>
        <v>24039</v>
      </c>
      <c r="Z504" s="40">
        <f t="shared" si="129"/>
        <v>24039</v>
      </c>
      <c r="AA504" s="905"/>
      <c r="AE504" s="452"/>
      <c r="AN504" s="268"/>
      <c r="AO504" s="578"/>
      <c r="AP504" s="578"/>
      <c r="AQ504" s="578"/>
      <c r="AR504" s="578"/>
      <c r="AS504" s="578"/>
      <c r="AT504" s="578"/>
      <c r="AU504" s="578"/>
    </row>
    <row r="505" spans="1:47" ht="63" customHeight="1">
      <c r="A505" s="981"/>
      <c r="B505" s="1036"/>
      <c r="C505" s="1037"/>
      <c r="D505" s="1037"/>
      <c r="E505" s="1037"/>
      <c r="F505" s="1037"/>
      <c r="G505" s="1037"/>
      <c r="H505" s="1038"/>
      <c r="I505" s="1032"/>
      <c r="J505" s="593">
        <v>7257</v>
      </c>
      <c r="K505" s="642">
        <v>5778.7087200000005</v>
      </c>
      <c r="L505" s="643">
        <v>213</v>
      </c>
      <c r="M505" s="1008"/>
      <c r="N505" s="650">
        <v>0.32500000000000001</v>
      </c>
      <c r="O505" s="677"/>
      <c r="P505" s="646">
        <f>ROUND(P504*N505,0)</f>
        <v>4875</v>
      </c>
      <c r="Q505" s="646">
        <v>14625</v>
      </c>
      <c r="R505" s="646">
        <v>14625</v>
      </c>
      <c r="S505" s="646">
        <v>14625</v>
      </c>
      <c r="T505" s="659">
        <v>14625</v>
      </c>
      <c r="U505" s="215">
        <v>5262</v>
      </c>
      <c r="V505" s="649">
        <f t="shared" si="126"/>
        <v>5262</v>
      </c>
      <c r="W505" s="40">
        <v>7813</v>
      </c>
      <c r="X505" s="40">
        <f t="shared" si="127"/>
        <v>7813</v>
      </c>
      <c r="Y505" s="40">
        <f t="shared" si="128"/>
        <v>7813</v>
      </c>
      <c r="Z505" s="40">
        <f t="shared" si="129"/>
        <v>7813</v>
      </c>
      <c r="AE505" s="452"/>
      <c r="AN505" s="268"/>
      <c r="AO505" s="578"/>
      <c r="AP505" s="578"/>
      <c r="AQ505" s="578"/>
      <c r="AR505" s="578"/>
      <c r="AS505" s="578"/>
      <c r="AT505" s="578"/>
      <c r="AU505" s="578"/>
    </row>
    <row r="506" spans="1:47" ht="39.75" customHeight="1">
      <c r="A506" s="998" t="s">
        <v>651</v>
      </c>
      <c r="B506" s="1036"/>
      <c r="C506" s="1037"/>
      <c r="D506" s="1037"/>
      <c r="E506" s="1037"/>
      <c r="F506" s="1037"/>
      <c r="G506" s="1037"/>
      <c r="H506" s="1038"/>
      <c r="I506" s="1032"/>
      <c r="J506" s="593">
        <v>20903</v>
      </c>
      <c r="K506" s="642">
        <v>15965.045742000002</v>
      </c>
      <c r="L506" s="643">
        <v>211</v>
      </c>
      <c r="M506" s="1009" t="s">
        <v>652</v>
      </c>
      <c r="N506" s="644">
        <v>2</v>
      </c>
      <c r="O506" s="645">
        <v>1452</v>
      </c>
      <c r="P506" s="646">
        <f>ROUND(N506*O506*12,0)</f>
        <v>34848</v>
      </c>
      <c r="Q506" s="647">
        <v>34848</v>
      </c>
      <c r="R506" s="647">
        <v>34848</v>
      </c>
      <c r="S506" s="647">
        <v>34848</v>
      </c>
      <c r="T506" s="645">
        <v>34848</v>
      </c>
      <c r="U506" s="648">
        <v>34848</v>
      </c>
      <c r="V506" s="649">
        <f t="shared" si="126"/>
        <v>34848</v>
      </c>
      <c r="W506" s="40">
        <v>18615</v>
      </c>
      <c r="X506" s="40">
        <f t="shared" si="127"/>
        <v>18615</v>
      </c>
      <c r="Y506" s="40">
        <f t="shared" si="128"/>
        <v>18615</v>
      </c>
      <c r="Z506" s="40">
        <f t="shared" si="129"/>
        <v>18615</v>
      </c>
      <c r="AA506" s="905"/>
      <c r="AE506" s="452"/>
      <c r="AN506" s="268"/>
      <c r="AO506" s="578"/>
      <c r="AP506" s="578"/>
      <c r="AQ506" s="578"/>
      <c r="AR506" s="578"/>
      <c r="AS506" s="578"/>
      <c r="AT506" s="578"/>
      <c r="AU506" s="578"/>
    </row>
    <row r="507" spans="1:47" ht="64.5" customHeight="1">
      <c r="A507" s="998"/>
      <c r="B507" s="1036"/>
      <c r="C507" s="1037"/>
      <c r="D507" s="1037"/>
      <c r="E507" s="1037"/>
      <c r="F507" s="1037"/>
      <c r="G507" s="1037"/>
      <c r="H507" s="1038"/>
      <c r="I507" s="1032"/>
      <c r="J507" s="593">
        <v>7164.7</v>
      </c>
      <c r="K507" s="642">
        <v>5539.74</v>
      </c>
      <c r="L507" s="643">
        <v>213</v>
      </c>
      <c r="M507" s="1009"/>
      <c r="N507" s="650">
        <v>0.30199999999999999</v>
      </c>
      <c r="O507" s="645"/>
      <c r="P507" s="646">
        <f>ROUND(P506*N507,0)</f>
        <v>10524</v>
      </c>
      <c r="Q507" s="647">
        <v>10524</v>
      </c>
      <c r="R507" s="647">
        <v>10524</v>
      </c>
      <c r="S507" s="647">
        <v>10524</v>
      </c>
      <c r="T507" s="645">
        <v>10524</v>
      </c>
      <c r="U507" s="648">
        <v>10524</v>
      </c>
      <c r="V507" s="649">
        <f t="shared" si="126"/>
        <v>10524</v>
      </c>
      <c r="W507" s="40">
        <v>5622</v>
      </c>
      <c r="X507" s="40">
        <f t="shared" si="127"/>
        <v>5622</v>
      </c>
      <c r="Y507" s="40">
        <f t="shared" si="128"/>
        <v>5622</v>
      </c>
      <c r="Z507" s="40">
        <f t="shared" si="129"/>
        <v>5622</v>
      </c>
      <c r="AE507" s="452"/>
      <c r="AN507" s="268"/>
      <c r="AO507" s="578"/>
      <c r="AP507" s="578"/>
      <c r="AQ507" s="578"/>
      <c r="AR507" s="578"/>
      <c r="AS507" s="578"/>
      <c r="AT507" s="578"/>
      <c r="AU507" s="578"/>
    </row>
    <row r="508" spans="1:47" ht="42" customHeight="1">
      <c r="A508" s="998" t="s">
        <v>653</v>
      </c>
      <c r="B508" s="1036"/>
      <c r="C508" s="1037"/>
      <c r="D508" s="1037"/>
      <c r="E508" s="1037"/>
      <c r="F508" s="1037"/>
      <c r="G508" s="1037"/>
      <c r="H508" s="1038"/>
      <c r="I508" s="1032"/>
      <c r="J508" s="642">
        <v>58333.55</v>
      </c>
      <c r="K508" s="642">
        <v>38921.402261160001</v>
      </c>
      <c r="L508" s="643">
        <v>211</v>
      </c>
      <c r="M508" s="1007" t="s">
        <v>654</v>
      </c>
      <c r="N508" s="656">
        <v>5</v>
      </c>
      <c r="O508" s="594">
        <v>1731</v>
      </c>
      <c r="P508" s="660">
        <f>ROUND(N508*O508*12,0)</f>
        <v>103860</v>
      </c>
      <c r="Q508" s="661">
        <v>83088</v>
      </c>
      <c r="R508" s="678">
        <v>83088</v>
      </c>
      <c r="S508" s="661">
        <v>83088</v>
      </c>
      <c r="T508" s="662">
        <v>83088</v>
      </c>
      <c r="U508" s="648">
        <v>99390.6</v>
      </c>
      <c r="V508" s="649">
        <f t="shared" si="126"/>
        <v>99390.6</v>
      </c>
      <c r="W508" s="40">
        <v>44386</v>
      </c>
      <c r="X508" s="40">
        <f t="shared" si="127"/>
        <v>44386</v>
      </c>
      <c r="Y508" s="40">
        <f t="shared" si="128"/>
        <v>44386</v>
      </c>
      <c r="Z508" s="40">
        <f t="shared" si="129"/>
        <v>44386</v>
      </c>
      <c r="AA508" s="905"/>
      <c r="AE508" s="452"/>
      <c r="AN508" s="268"/>
      <c r="AO508" s="578"/>
      <c r="AP508" s="578"/>
      <c r="AQ508" s="578"/>
      <c r="AR508" s="578"/>
      <c r="AS508" s="578"/>
      <c r="AT508" s="578"/>
      <c r="AU508" s="578"/>
    </row>
    <row r="509" spans="1:47" ht="88.5" customHeight="1">
      <c r="A509" s="998"/>
      <c r="B509" s="1036"/>
      <c r="C509" s="1037"/>
      <c r="D509" s="1037"/>
      <c r="E509" s="1037"/>
      <c r="F509" s="1037"/>
      <c r="G509" s="1037"/>
      <c r="H509" s="1038"/>
      <c r="I509" s="1032"/>
      <c r="J509" s="642">
        <v>16273.33</v>
      </c>
      <c r="K509" s="642">
        <v>11754.584074000002</v>
      </c>
      <c r="L509" s="643">
        <v>213</v>
      </c>
      <c r="M509" s="1008"/>
      <c r="N509" s="650">
        <v>0.30199999999999999</v>
      </c>
      <c r="O509" s="594"/>
      <c r="P509" s="660">
        <f>ROUND(P508*N509,0)</f>
        <v>31366</v>
      </c>
      <c r="Q509" s="661">
        <v>25093</v>
      </c>
      <c r="R509" s="678">
        <v>25093</v>
      </c>
      <c r="S509" s="661">
        <v>25093</v>
      </c>
      <c r="T509" s="662">
        <v>25093</v>
      </c>
      <c r="U509" s="648">
        <v>30015.95</v>
      </c>
      <c r="V509" s="649">
        <f t="shared" si="126"/>
        <v>30015.95</v>
      </c>
      <c r="W509" s="40">
        <v>43405</v>
      </c>
      <c r="X509" s="40">
        <f t="shared" si="127"/>
        <v>43405</v>
      </c>
      <c r="Y509" s="40">
        <f t="shared" si="128"/>
        <v>43405</v>
      </c>
      <c r="Z509" s="40">
        <f t="shared" si="129"/>
        <v>43405</v>
      </c>
      <c r="AE509" s="452"/>
      <c r="AN509" s="268"/>
      <c r="AO509" s="578"/>
      <c r="AP509" s="578"/>
      <c r="AQ509" s="578"/>
      <c r="AR509" s="578"/>
      <c r="AS509" s="578"/>
      <c r="AT509" s="578"/>
      <c r="AU509" s="578"/>
    </row>
    <row r="510" spans="1:47" ht="42.75" customHeight="1">
      <c r="A510" s="998" t="s">
        <v>655</v>
      </c>
      <c r="B510" s="1036"/>
      <c r="C510" s="1037"/>
      <c r="D510" s="1037"/>
      <c r="E510" s="1037"/>
      <c r="F510" s="1037"/>
      <c r="G510" s="1037"/>
      <c r="H510" s="1038"/>
      <c r="I510" s="1032"/>
      <c r="J510" s="593">
        <v>8421.59</v>
      </c>
      <c r="K510" s="642">
        <v>5562.3160676800007</v>
      </c>
      <c r="L510" s="643">
        <v>211</v>
      </c>
      <c r="M510" s="1009" t="s">
        <v>656</v>
      </c>
      <c r="N510" s="656">
        <v>1</v>
      </c>
      <c r="O510" s="642">
        <v>1452</v>
      </c>
      <c r="P510" s="660">
        <f>ROUND(N510*O510*12,0)</f>
        <v>17424</v>
      </c>
      <c r="Q510" s="660">
        <v>17424</v>
      </c>
      <c r="R510" s="660">
        <v>17424</v>
      </c>
      <c r="S510" s="660">
        <v>17424</v>
      </c>
      <c r="T510" s="120">
        <v>17424</v>
      </c>
      <c r="U510" s="215">
        <v>17424</v>
      </c>
      <c r="V510" s="649">
        <f t="shared" si="126"/>
        <v>17424</v>
      </c>
      <c r="W510" s="40">
        <v>9308</v>
      </c>
      <c r="X510" s="40">
        <f t="shared" si="127"/>
        <v>9308</v>
      </c>
      <c r="Y510" s="40">
        <f t="shared" si="128"/>
        <v>9308</v>
      </c>
      <c r="Z510" s="40">
        <f t="shared" si="129"/>
        <v>9308</v>
      </c>
      <c r="AA510" s="905"/>
      <c r="AE510" s="452"/>
      <c r="AN510" s="268"/>
      <c r="AO510" s="578"/>
      <c r="AP510" s="578"/>
      <c r="AQ510" s="578"/>
      <c r="AR510" s="578"/>
      <c r="AS510" s="578"/>
      <c r="AT510" s="578"/>
      <c r="AU510" s="578"/>
    </row>
    <row r="511" spans="1:47" ht="62.25" customHeight="1">
      <c r="A511" s="998"/>
      <c r="B511" s="1036"/>
      <c r="C511" s="1037"/>
      <c r="D511" s="1037"/>
      <c r="E511" s="1037"/>
      <c r="F511" s="1037"/>
      <c r="G511" s="1037"/>
      <c r="H511" s="1038"/>
      <c r="I511" s="1032"/>
      <c r="J511" s="593">
        <v>2543.25</v>
      </c>
      <c r="K511" s="642">
        <v>1679.8233776</v>
      </c>
      <c r="L511" s="643">
        <v>213</v>
      </c>
      <c r="M511" s="1009"/>
      <c r="N511" s="650">
        <v>0.39200000000000002</v>
      </c>
      <c r="O511" s="642"/>
      <c r="P511" s="660">
        <f>ROUND(P510*N511,0)</f>
        <v>6830</v>
      </c>
      <c r="Q511" s="660">
        <v>6830</v>
      </c>
      <c r="R511" s="660">
        <v>6830</v>
      </c>
      <c r="S511" s="660">
        <v>6830</v>
      </c>
      <c r="T511" s="120">
        <v>6830</v>
      </c>
      <c r="U511" s="215">
        <f>6830-1568</f>
        <v>5262</v>
      </c>
      <c r="V511" s="649">
        <f t="shared" si="126"/>
        <v>5262</v>
      </c>
      <c r="W511" s="40">
        <v>3649</v>
      </c>
      <c r="X511" s="40">
        <f t="shared" si="127"/>
        <v>3649</v>
      </c>
      <c r="Y511" s="40">
        <f t="shared" si="128"/>
        <v>3649</v>
      </c>
      <c r="Z511" s="40">
        <f t="shared" si="129"/>
        <v>3649</v>
      </c>
      <c r="AE511" s="452"/>
      <c r="AN511" s="268"/>
      <c r="AO511" s="578"/>
      <c r="AP511" s="578"/>
      <c r="AQ511" s="578"/>
      <c r="AR511" s="578"/>
      <c r="AS511" s="578"/>
      <c r="AT511" s="578"/>
      <c r="AU511" s="578"/>
    </row>
    <row r="512" spans="1:47" ht="33" customHeight="1">
      <c r="A512" s="998" t="s">
        <v>657</v>
      </c>
      <c r="B512" s="1036"/>
      <c r="C512" s="1037"/>
      <c r="D512" s="1037"/>
      <c r="E512" s="1037"/>
      <c r="F512" s="1037"/>
      <c r="G512" s="1037"/>
      <c r="H512" s="1038"/>
      <c r="I512" s="1032"/>
      <c r="J512" s="593">
        <v>16950</v>
      </c>
      <c r="K512" s="642">
        <v>17210.557363600001</v>
      </c>
      <c r="L512" s="643">
        <v>211</v>
      </c>
      <c r="M512" s="1009" t="s">
        <v>658</v>
      </c>
      <c r="N512" s="679">
        <v>3</v>
      </c>
      <c r="O512" s="645">
        <v>1692</v>
      </c>
      <c r="P512" s="646">
        <f>ROUND(N512*O512*12,0)</f>
        <v>60912</v>
      </c>
      <c r="Q512" s="647">
        <v>40608</v>
      </c>
      <c r="R512" s="647">
        <v>40608</v>
      </c>
      <c r="S512" s="647">
        <v>40608</v>
      </c>
      <c r="T512" s="645">
        <v>40608</v>
      </c>
      <c r="U512" s="648">
        <f>40608+17424</f>
        <v>58032</v>
      </c>
      <c r="V512" s="649">
        <f t="shared" si="126"/>
        <v>58032</v>
      </c>
      <c r="W512" s="40">
        <v>21693</v>
      </c>
      <c r="X512" s="40">
        <f t="shared" si="127"/>
        <v>21693</v>
      </c>
      <c r="Y512" s="40">
        <f t="shared" si="128"/>
        <v>21693</v>
      </c>
      <c r="Z512" s="40">
        <f t="shared" si="129"/>
        <v>21693</v>
      </c>
      <c r="AA512" s="905"/>
      <c r="AE512" s="452"/>
      <c r="AN512" s="268"/>
      <c r="AO512" s="578"/>
      <c r="AP512" s="578"/>
      <c r="AQ512" s="578"/>
      <c r="AR512" s="578"/>
      <c r="AS512" s="578"/>
      <c r="AT512" s="578"/>
      <c r="AU512" s="578"/>
    </row>
    <row r="513" spans="1:47" ht="66.75" customHeight="1">
      <c r="A513" s="998"/>
      <c r="B513" s="1036"/>
      <c r="C513" s="1037"/>
      <c r="D513" s="1037"/>
      <c r="E513" s="1037"/>
      <c r="F513" s="1037"/>
      <c r="G513" s="1037"/>
      <c r="H513" s="1038"/>
      <c r="I513" s="1032"/>
      <c r="J513" s="593">
        <v>5311</v>
      </c>
      <c r="K513" s="642">
        <v>5197.2034400000002</v>
      </c>
      <c r="L513" s="643">
        <v>213</v>
      </c>
      <c r="M513" s="1008"/>
      <c r="N513" s="650">
        <v>0.30199999999999999</v>
      </c>
      <c r="O513" s="645"/>
      <c r="P513" s="646">
        <f>ROUND(P512*N513,0)</f>
        <v>18395</v>
      </c>
      <c r="Q513" s="647">
        <v>12264</v>
      </c>
      <c r="R513" s="647">
        <v>12264</v>
      </c>
      <c r="S513" s="647">
        <v>12264</v>
      </c>
      <c r="T513" s="645">
        <v>12264</v>
      </c>
      <c r="U513" s="648">
        <f>12264+5261</f>
        <v>17525</v>
      </c>
      <c r="V513" s="649">
        <f t="shared" si="126"/>
        <v>17525</v>
      </c>
      <c r="W513" s="40">
        <v>6551</v>
      </c>
      <c r="X513" s="40">
        <f t="shared" si="127"/>
        <v>6551</v>
      </c>
      <c r="Y513" s="40">
        <f t="shared" si="128"/>
        <v>6551</v>
      </c>
      <c r="Z513" s="40">
        <f t="shared" si="129"/>
        <v>6551</v>
      </c>
      <c r="AE513" s="452"/>
      <c r="AN513" s="268"/>
      <c r="AO513" s="578"/>
      <c r="AP513" s="578"/>
      <c r="AQ513" s="578"/>
      <c r="AR513" s="578"/>
      <c r="AS513" s="578"/>
      <c r="AT513" s="578"/>
      <c r="AU513" s="578"/>
    </row>
    <row r="514" spans="1:47" ht="37.5" customHeight="1">
      <c r="A514" s="998" t="s">
        <v>659</v>
      </c>
      <c r="B514" s="1036"/>
      <c r="C514" s="1037"/>
      <c r="D514" s="1037"/>
      <c r="E514" s="1037"/>
      <c r="F514" s="1037"/>
      <c r="G514" s="1037"/>
      <c r="H514" s="1038"/>
      <c r="I514" s="1032"/>
      <c r="J514" s="593">
        <v>8162.4</v>
      </c>
      <c r="K514" s="642">
        <v>7416.009524000001</v>
      </c>
      <c r="L514" s="643">
        <v>211</v>
      </c>
      <c r="M514" s="1007" t="s">
        <v>660</v>
      </c>
      <c r="N514" s="656">
        <v>1</v>
      </c>
      <c r="O514" s="657">
        <v>1452</v>
      </c>
      <c r="P514" s="646">
        <f>ROUND(N514*O514*12,0)</f>
        <v>17424</v>
      </c>
      <c r="Q514" s="646">
        <v>17424</v>
      </c>
      <c r="R514" s="646">
        <v>17424</v>
      </c>
      <c r="S514" s="646">
        <v>17424</v>
      </c>
      <c r="T514" s="659">
        <v>17424</v>
      </c>
      <c r="U514" s="215">
        <v>17424</v>
      </c>
      <c r="V514" s="649">
        <f t="shared" si="126"/>
        <v>17424</v>
      </c>
      <c r="W514" s="40">
        <v>9308</v>
      </c>
      <c r="X514" s="40">
        <f t="shared" si="127"/>
        <v>9308</v>
      </c>
      <c r="Y514" s="40">
        <f t="shared" si="128"/>
        <v>9308</v>
      </c>
      <c r="Z514" s="40">
        <f t="shared" si="129"/>
        <v>9308</v>
      </c>
      <c r="AA514" s="905"/>
      <c r="AE514" s="452"/>
      <c r="AN514" s="268"/>
      <c r="AO514" s="578"/>
      <c r="AP514" s="578"/>
      <c r="AQ514" s="578"/>
      <c r="AR514" s="578"/>
      <c r="AS514" s="578"/>
      <c r="AT514" s="578"/>
      <c r="AU514" s="578"/>
    </row>
    <row r="515" spans="1:47" ht="54" customHeight="1">
      <c r="A515" s="998"/>
      <c r="B515" s="1036"/>
      <c r="C515" s="1037"/>
      <c r="D515" s="1037"/>
      <c r="E515" s="1037"/>
      <c r="F515" s="1037"/>
      <c r="G515" s="1037"/>
      <c r="H515" s="1038"/>
      <c r="I515" s="1032"/>
      <c r="J515" s="593">
        <v>3341.55</v>
      </c>
      <c r="K515" s="642">
        <v>2239.7039300000001</v>
      </c>
      <c r="L515" s="643">
        <v>213</v>
      </c>
      <c r="M515" s="1008"/>
      <c r="N515" s="650">
        <v>0.39200000000000002</v>
      </c>
      <c r="O515" s="657"/>
      <c r="P515" s="646">
        <f>ROUND(P514*N515,0)</f>
        <v>6830</v>
      </c>
      <c r="Q515" s="646">
        <v>6830</v>
      </c>
      <c r="R515" s="646">
        <v>6830</v>
      </c>
      <c r="S515" s="646">
        <v>6830</v>
      </c>
      <c r="T515" s="659">
        <v>6830</v>
      </c>
      <c r="U515" s="215">
        <v>6830</v>
      </c>
      <c r="V515" s="649">
        <f t="shared" si="126"/>
        <v>6830</v>
      </c>
      <c r="W515" s="40">
        <v>3649</v>
      </c>
      <c r="X515" s="40">
        <f t="shared" si="127"/>
        <v>3649</v>
      </c>
      <c r="Y515" s="40">
        <f t="shared" si="128"/>
        <v>3649</v>
      </c>
      <c r="Z515" s="40">
        <f t="shared" si="129"/>
        <v>3649</v>
      </c>
      <c r="AE515" s="452"/>
      <c r="AN515" s="268"/>
      <c r="AO515" s="578"/>
      <c r="AP515" s="578"/>
      <c r="AQ515" s="578"/>
      <c r="AR515" s="578"/>
      <c r="AS515" s="578"/>
      <c r="AT515" s="578"/>
      <c r="AU515" s="578"/>
    </row>
    <row r="516" spans="1:47" ht="62.25" customHeight="1">
      <c r="A516" s="998" t="s">
        <v>661</v>
      </c>
      <c r="B516" s="1036"/>
      <c r="C516" s="1037"/>
      <c r="D516" s="1037"/>
      <c r="E516" s="1037"/>
      <c r="F516" s="1037"/>
      <c r="G516" s="1037"/>
      <c r="H516" s="1038"/>
      <c r="I516" s="1032"/>
      <c r="J516" s="593">
        <v>32083.52</v>
      </c>
      <c r="K516" s="642">
        <v>24570.633348480002</v>
      </c>
      <c r="L516" s="643">
        <v>211</v>
      </c>
      <c r="M516" s="1007" t="s">
        <v>662</v>
      </c>
      <c r="N516" s="656">
        <v>3</v>
      </c>
      <c r="O516" s="657">
        <v>1149</v>
      </c>
      <c r="P516" s="646">
        <f>ROUND(N516*O516*12,0)</f>
        <v>41364</v>
      </c>
      <c r="Q516" s="647">
        <v>55152</v>
      </c>
      <c r="R516" s="658">
        <v>55152</v>
      </c>
      <c r="S516" s="647">
        <v>55152</v>
      </c>
      <c r="T516" s="645">
        <v>55152</v>
      </c>
      <c r="U516" s="648">
        <v>46083</v>
      </c>
      <c r="V516" s="649">
        <f t="shared" si="126"/>
        <v>46083</v>
      </c>
      <c r="W516" s="39">
        <v>29462</v>
      </c>
      <c r="X516" s="40">
        <f t="shared" si="127"/>
        <v>29462</v>
      </c>
      <c r="Y516" s="40">
        <f t="shared" si="128"/>
        <v>29462</v>
      </c>
      <c r="Z516" s="40">
        <f t="shared" si="129"/>
        <v>29462</v>
      </c>
      <c r="AA516" s="905"/>
      <c r="AE516" s="452"/>
      <c r="AN516" s="268"/>
      <c r="AO516" s="578"/>
      <c r="AP516" s="578"/>
      <c r="AQ516" s="578"/>
      <c r="AR516" s="578"/>
      <c r="AS516" s="578"/>
      <c r="AT516" s="578"/>
      <c r="AU516" s="578"/>
    </row>
    <row r="517" spans="1:47" ht="62.25" customHeight="1">
      <c r="A517" s="998"/>
      <c r="B517" s="1036"/>
      <c r="C517" s="1037"/>
      <c r="D517" s="1037"/>
      <c r="E517" s="1037"/>
      <c r="F517" s="1037"/>
      <c r="G517" s="1037"/>
      <c r="H517" s="1038"/>
      <c r="I517" s="1032"/>
      <c r="J517" s="593">
        <v>10769.68</v>
      </c>
      <c r="K517" s="642">
        <v>7420.5525340000004</v>
      </c>
      <c r="L517" s="643">
        <v>213</v>
      </c>
      <c r="M517" s="1007"/>
      <c r="N517" s="650">
        <v>0.30199999999999999</v>
      </c>
      <c r="O517" s="657"/>
      <c r="P517" s="646">
        <f>ROUND(P516*N517,0)</f>
        <v>12492</v>
      </c>
      <c r="Q517" s="647">
        <v>16656</v>
      </c>
      <c r="R517" s="658">
        <v>16656</v>
      </c>
      <c r="S517" s="647">
        <v>16656</v>
      </c>
      <c r="T517" s="645">
        <v>16656</v>
      </c>
      <c r="U517" s="648">
        <v>13917</v>
      </c>
      <c r="V517" s="649">
        <f t="shared" si="126"/>
        <v>13917</v>
      </c>
      <c r="W517" s="39">
        <v>8898</v>
      </c>
      <c r="X517" s="40">
        <f t="shared" si="127"/>
        <v>8898</v>
      </c>
      <c r="Y517" s="40">
        <f t="shared" si="128"/>
        <v>8898</v>
      </c>
      <c r="Z517" s="40">
        <f t="shared" si="129"/>
        <v>8898</v>
      </c>
      <c r="AE517" s="452"/>
      <c r="AN517" s="268"/>
      <c r="AO517" s="578"/>
      <c r="AP517" s="578"/>
      <c r="AQ517" s="578"/>
      <c r="AR517" s="578"/>
      <c r="AS517" s="578"/>
      <c r="AT517" s="578"/>
      <c r="AU517" s="578"/>
    </row>
    <row r="518" spans="1:47" ht="45" customHeight="1">
      <c r="A518" s="998" t="s">
        <v>663</v>
      </c>
      <c r="B518" s="1036"/>
      <c r="C518" s="1037"/>
      <c r="D518" s="1037"/>
      <c r="E518" s="1037"/>
      <c r="F518" s="1037"/>
      <c r="G518" s="1037"/>
      <c r="H518" s="1038"/>
      <c r="I518" s="1032"/>
      <c r="J518" s="665">
        <v>86620</v>
      </c>
      <c r="K518" s="642">
        <v>75353.271386400011</v>
      </c>
      <c r="L518" s="643">
        <v>211</v>
      </c>
      <c r="M518" s="1019" t="s">
        <v>664</v>
      </c>
      <c r="N518" s="680">
        <v>10</v>
      </c>
      <c r="O518" s="681">
        <v>1476</v>
      </c>
      <c r="P518" s="646">
        <f>ROUND(N518*O518*12,0)</f>
        <v>177120</v>
      </c>
      <c r="Q518" s="646">
        <v>177120</v>
      </c>
      <c r="R518" s="646">
        <v>177120</v>
      </c>
      <c r="S518" s="646">
        <v>177120</v>
      </c>
      <c r="T518" s="659">
        <v>177120</v>
      </c>
      <c r="U518" s="215">
        <v>173533.69</v>
      </c>
      <c r="V518" s="649">
        <f t="shared" si="126"/>
        <v>173533.69</v>
      </c>
      <c r="W518" s="39">
        <v>94618</v>
      </c>
      <c r="X518" s="40">
        <f t="shared" si="127"/>
        <v>94618</v>
      </c>
      <c r="Y518" s="40">
        <f>W518</f>
        <v>94618</v>
      </c>
      <c r="Z518" s="40">
        <f t="shared" si="129"/>
        <v>94618</v>
      </c>
      <c r="AA518" s="905"/>
      <c r="AE518" s="452"/>
      <c r="AN518" s="268"/>
      <c r="AO518" s="578"/>
      <c r="AP518" s="578"/>
      <c r="AQ518" s="578"/>
      <c r="AR518" s="578"/>
      <c r="AS518" s="578"/>
      <c r="AT518" s="578"/>
      <c r="AU518" s="578"/>
    </row>
    <row r="519" spans="1:47" ht="78.75" customHeight="1">
      <c r="A519" s="998"/>
      <c r="B519" s="1036"/>
      <c r="C519" s="1037"/>
      <c r="D519" s="1037"/>
      <c r="E519" s="1037"/>
      <c r="F519" s="1037"/>
      <c r="G519" s="1037"/>
      <c r="H519" s="1038"/>
      <c r="I519" s="1032"/>
      <c r="J519" s="665">
        <v>27694.2</v>
      </c>
      <c r="K519" s="642">
        <v>22756.845692000003</v>
      </c>
      <c r="L519" s="643">
        <v>213</v>
      </c>
      <c r="M519" s="1008"/>
      <c r="N519" s="650">
        <v>0.318</v>
      </c>
      <c r="O519" s="681"/>
      <c r="P519" s="646">
        <f>ROUND(P518*N519,0)</f>
        <v>56324</v>
      </c>
      <c r="Q519" s="646">
        <v>56324</v>
      </c>
      <c r="R519" s="646">
        <v>56324</v>
      </c>
      <c r="S519" s="646">
        <v>56324</v>
      </c>
      <c r="T519" s="659">
        <v>56324</v>
      </c>
      <c r="U519" s="215">
        <v>55176.34</v>
      </c>
      <c r="V519" s="649">
        <f t="shared" si="126"/>
        <v>55176.34</v>
      </c>
      <c r="W519" s="39">
        <v>30088</v>
      </c>
      <c r="X519" s="40">
        <f t="shared" si="127"/>
        <v>30088</v>
      </c>
      <c r="Y519" s="40">
        <f t="shared" si="128"/>
        <v>30088</v>
      </c>
      <c r="Z519" s="40">
        <f t="shared" si="129"/>
        <v>30088</v>
      </c>
      <c r="AE519" s="452"/>
      <c r="AN519" s="268"/>
      <c r="AO519" s="578"/>
      <c r="AP519" s="578"/>
      <c r="AQ519" s="578"/>
      <c r="AR519" s="578"/>
      <c r="AS519" s="578"/>
      <c r="AT519" s="578"/>
      <c r="AU519" s="578"/>
    </row>
    <row r="520" spans="1:47" ht="40.5" customHeight="1">
      <c r="A520" s="981" t="s">
        <v>665</v>
      </c>
      <c r="B520" s="1036"/>
      <c r="C520" s="1037"/>
      <c r="D520" s="1037"/>
      <c r="E520" s="1037"/>
      <c r="F520" s="1037"/>
      <c r="G520" s="1037"/>
      <c r="H520" s="1038"/>
      <c r="I520" s="1032"/>
      <c r="J520" s="593">
        <v>23519.200000000001</v>
      </c>
      <c r="K520" s="642">
        <v>10586.121902000001</v>
      </c>
      <c r="L520" s="643">
        <v>211</v>
      </c>
      <c r="M520" s="1020" t="s">
        <v>666</v>
      </c>
      <c r="N520" s="682">
        <v>1</v>
      </c>
      <c r="O520" s="683">
        <v>726</v>
      </c>
      <c r="P520" s="646">
        <f>ROUND(N520*O520*12,0)</f>
        <v>8712</v>
      </c>
      <c r="Q520" s="646">
        <v>8712</v>
      </c>
      <c r="R520" s="684">
        <v>8712</v>
      </c>
      <c r="S520" s="647">
        <v>8712</v>
      </c>
      <c r="T520" s="659">
        <v>8712</v>
      </c>
      <c r="U520" s="215">
        <v>8712</v>
      </c>
      <c r="V520" s="649">
        <f t="shared" si="126"/>
        <v>8712</v>
      </c>
      <c r="W520" s="39">
        <v>4654</v>
      </c>
      <c r="X520" s="40">
        <f t="shared" si="127"/>
        <v>4654</v>
      </c>
      <c r="Y520" s="40">
        <f t="shared" si="128"/>
        <v>4654</v>
      </c>
      <c r="Z520" s="40">
        <f t="shared" si="129"/>
        <v>4654</v>
      </c>
      <c r="AA520" s="905"/>
      <c r="AE520" s="452"/>
      <c r="AN520" s="268"/>
      <c r="AO520" s="578"/>
      <c r="AP520" s="578"/>
      <c r="AQ520" s="578"/>
      <c r="AR520" s="578"/>
      <c r="AS520" s="578"/>
      <c r="AT520" s="578"/>
      <c r="AU520" s="578"/>
    </row>
    <row r="521" spans="1:47" ht="64.5" customHeight="1">
      <c r="A521" s="981"/>
      <c r="B521" s="1036"/>
      <c r="C521" s="1037"/>
      <c r="D521" s="1037"/>
      <c r="E521" s="1037"/>
      <c r="F521" s="1037"/>
      <c r="G521" s="1037"/>
      <c r="H521" s="1038"/>
      <c r="I521" s="1032"/>
      <c r="J521" s="593">
        <v>7102.8</v>
      </c>
      <c r="K521" s="642">
        <v>3197.4</v>
      </c>
      <c r="L521" s="643">
        <v>213</v>
      </c>
      <c r="M521" s="1008"/>
      <c r="N521" s="650">
        <v>0.30199999999999999</v>
      </c>
      <c r="O521" s="683"/>
      <c r="P521" s="646">
        <f>ROUND(P520*N521,0)</f>
        <v>2631</v>
      </c>
      <c r="Q521" s="646">
        <v>2631</v>
      </c>
      <c r="R521" s="684">
        <v>2631</v>
      </c>
      <c r="S521" s="647">
        <v>2631</v>
      </c>
      <c r="T521" s="659">
        <v>2631</v>
      </c>
      <c r="U521" s="215">
        <v>2631</v>
      </c>
      <c r="V521" s="649">
        <f t="shared" si="126"/>
        <v>2631</v>
      </c>
      <c r="W521" s="39">
        <v>1405</v>
      </c>
      <c r="X521" s="40">
        <f t="shared" si="127"/>
        <v>1405</v>
      </c>
      <c r="Y521" s="40">
        <f t="shared" si="128"/>
        <v>1405</v>
      </c>
      <c r="Z521" s="40">
        <f t="shared" si="129"/>
        <v>1405</v>
      </c>
      <c r="AE521" s="452"/>
      <c r="AN521" s="268"/>
      <c r="AO521" s="578"/>
      <c r="AP521" s="578"/>
      <c r="AQ521" s="578"/>
      <c r="AR521" s="578"/>
      <c r="AS521" s="578"/>
      <c r="AT521" s="578"/>
      <c r="AU521" s="578"/>
    </row>
    <row r="522" spans="1:47" ht="46.5" customHeight="1">
      <c r="A522" s="998" t="s">
        <v>667</v>
      </c>
      <c r="B522" s="1036"/>
      <c r="C522" s="1037"/>
      <c r="D522" s="1037"/>
      <c r="E522" s="1037"/>
      <c r="F522" s="1037"/>
      <c r="G522" s="1037"/>
      <c r="H522" s="1038"/>
      <c r="I522" s="1032"/>
      <c r="J522" s="593">
        <v>20570</v>
      </c>
      <c r="K522" s="642">
        <v>19135.7032812</v>
      </c>
      <c r="L522" s="643">
        <v>211</v>
      </c>
      <c r="M522" s="1008" t="s">
        <v>668</v>
      </c>
      <c r="N522" s="656">
        <v>1</v>
      </c>
      <c r="O522" s="657">
        <v>1452</v>
      </c>
      <c r="P522" s="646">
        <f>ROUND(N522*O522*12,0)</f>
        <v>17424</v>
      </c>
      <c r="Q522" s="647">
        <v>43560</v>
      </c>
      <c r="R522" s="647">
        <v>43560</v>
      </c>
      <c r="S522" s="647">
        <v>43560</v>
      </c>
      <c r="T522" s="645">
        <v>43560</v>
      </c>
      <c r="U522" s="648">
        <v>3630</v>
      </c>
      <c r="V522" s="649">
        <f t="shared" si="126"/>
        <v>3630</v>
      </c>
      <c r="W522" s="39">
        <v>23270</v>
      </c>
      <c r="X522" s="40">
        <f t="shared" si="127"/>
        <v>23270</v>
      </c>
      <c r="Y522" s="40">
        <f t="shared" si="128"/>
        <v>23270</v>
      </c>
      <c r="Z522" s="40">
        <f t="shared" si="129"/>
        <v>23270</v>
      </c>
      <c r="AA522" s="905"/>
      <c r="AE522" s="452"/>
      <c r="AN522" s="268"/>
      <c r="AO522" s="578"/>
      <c r="AP522" s="578"/>
      <c r="AQ522" s="578"/>
      <c r="AR522" s="578"/>
      <c r="AS522" s="578"/>
      <c r="AT522" s="578"/>
      <c r="AU522" s="578"/>
    </row>
    <row r="523" spans="1:47" ht="56.25" customHeight="1">
      <c r="A523" s="998"/>
      <c r="B523" s="1036"/>
      <c r="C523" s="1037"/>
      <c r="D523" s="1037"/>
      <c r="E523" s="1037"/>
      <c r="F523" s="1037"/>
      <c r="G523" s="1037"/>
      <c r="H523" s="1038"/>
      <c r="I523" s="1032"/>
      <c r="J523" s="593">
        <v>6659</v>
      </c>
      <c r="K523" s="642">
        <v>6224.1054204000011</v>
      </c>
      <c r="L523" s="643">
        <v>213</v>
      </c>
      <c r="M523" s="1021"/>
      <c r="N523" s="650">
        <v>0.32600000000000001</v>
      </c>
      <c r="O523" s="657"/>
      <c r="P523" s="646">
        <f>ROUND(P522*N523,0)</f>
        <v>5680</v>
      </c>
      <c r="Q523" s="647">
        <v>14201</v>
      </c>
      <c r="R523" s="647">
        <v>14201</v>
      </c>
      <c r="S523" s="647">
        <v>14201</v>
      </c>
      <c r="T523" s="645">
        <v>14201</v>
      </c>
      <c r="U523" s="648">
        <v>1096.25</v>
      </c>
      <c r="V523" s="649">
        <f t="shared" si="126"/>
        <v>1096.25</v>
      </c>
      <c r="W523" s="39">
        <v>7586</v>
      </c>
      <c r="X523" s="40">
        <f t="shared" si="127"/>
        <v>7586</v>
      </c>
      <c r="Y523" s="40">
        <f t="shared" si="128"/>
        <v>7586</v>
      </c>
      <c r="Z523" s="40">
        <f t="shared" si="129"/>
        <v>7586</v>
      </c>
      <c r="AE523" s="452"/>
      <c r="AN523" s="268"/>
      <c r="AO523" s="578"/>
      <c r="AP523" s="578"/>
      <c r="AQ523" s="578"/>
      <c r="AR523" s="578"/>
      <c r="AS523" s="578"/>
      <c r="AT523" s="578"/>
      <c r="AU523" s="578"/>
    </row>
    <row r="524" spans="1:47" ht="29.25" customHeight="1">
      <c r="A524" s="1017" t="s">
        <v>669</v>
      </c>
      <c r="B524" s="1036"/>
      <c r="C524" s="1037"/>
      <c r="D524" s="1037"/>
      <c r="E524" s="1037"/>
      <c r="F524" s="1037"/>
      <c r="G524" s="1037"/>
      <c r="H524" s="1038"/>
      <c r="I524" s="1032"/>
      <c r="J524" s="593">
        <v>26320</v>
      </c>
      <c r="K524" s="642">
        <v>15822.985819300004</v>
      </c>
      <c r="L524" s="685">
        <v>211</v>
      </c>
      <c r="M524" s="1018" t="s">
        <v>670</v>
      </c>
      <c r="N524" s="686">
        <v>2</v>
      </c>
      <c r="O524" s="687">
        <v>1452</v>
      </c>
      <c r="P524" s="646">
        <f>ROUND(N524*O524*12,0)</f>
        <v>34848</v>
      </c>
      <c r="Q524" s="646">
        <v>34848</v>
      </c>
      <c r="R524" s="646">
        <v>34848</v>
      </c>
      <c r="S524" s="646">
        <v>34848</v>
      </c>
      <c r="T524" s="659">
        <v>34848</v>
      </c>
      <c r="U524" s="215">
        <v>34848</v>
      </c>
      <c r="V524" s="649">
        <f t="shared" si="126"/>
        <v>34848</v>
      </c>
      <c r="W524" s="39">
        <v>18616</v>
      </c>
      <c r="X524" s="40">
        <f t="shared" si="127"/>
        <v>18616</v>
      </c>
      <c r="Y524" s="40">
        <f t="shared" si="128"/>
        <v>18616</v>
      </c>
      <c r="Z524" s="40">
        <f t="shared" si="129"/>
        <v>18616</v>
      </c>
      <c r="AA524" s="905"/>
      <c r="AE524" s="452"/>
      <c r="AN524" s="268"/>
      <c r="AO524" s="578"/>
      <c r="AP524" s="578"/>
      <c r="AQ524" s="578"/>
      <c r="AR524" s="578"/>
      <c r="AS524" s="578"/>
      <c r="AT524" s="578"/>
      <c r="AU524" s="578"/>
    </row>
    <row r="525" spans="1:47" ht="57" customHeight="1">
      <c r="A525" s="1017"/>
      <c r="B525" s="1036"/>
      <c r="C525" s="1037"/>
      <c r="D525" s="1037"/>
      <c r="E525" s="1037"/>
      <c r="F525" s="1037"/>
      <c r="G525" s="1037"/>
      <c r="H525" s="1038"/>
      <c r="I525" s="1032"/>
      <c r="J525" s="593">
        <v>7547.5</v>
      </c>
      <c r="K525" s="642">
        <v>4778.5468964599995</v>
      </c>
      <c r="L525" s="685">
        <v>213</v>
      </c>
      <c r="M525" s="1018"/>
      <c r="N525" s="650">
        <v>0.30199999999999999</v>
      </c>
      <c r="O525" s="687"/>
      <c r="P525" s="646">
        <f>ROUND(P524*N525,0)</f>
        <v>10524</v>
      </c>
      <c r="Q525" s="646">
        <v>10524</v>
      </c>
      <c r="R525" s="646">
        <v>10524</v>
      </c>
      <c r="S525" s="646">
        <v>10524</v>
      </c>
      <c r="T525" s="659">
        <v>10524</v>
      </c>
      <c r="U525" s="215">
        <f>10524+697</f>
        <v>11221</v>
      </c>
      <c r="V525" s="649">
        <f t="shared" si="126"/>
        <v>11221</v>
      </c>
      <c r="W525" s="39">
        <v>5622</v>
      </c>
      <c r="X525" s="40">
        <f t="shared" si="127"/>
        <v>5622</v>
      </c>
      <c r="Y525" s="40">
        <f t="shared" si="128"/>
        <v>5622</v>
      </c>
      <c r="Z525" s="40">
        <f t="shared" si="129"/>
        <v>5622</v>
      </c>
      <c r="AE525" s="452"/>
      <c r="AN525" s="268"/>
      <c r="AO525" s="578"/>
      <c r="AP525" s="578"/>
      <c r="AQ525" s="578"/>
      <c r="AR525" s="578"/>
      <c r="AS525" s="578"/>
      <c r="AT525" s="578"/>
      <c r="AU525" s="578"/>
    </row>
    <row r="526" spans="1:47" ht="26.25" customHeight="1">
      <c r="A526" s="998" t="s">
        <v>671</v>
      </c>
      <c r="B526" s="1036"/>
      <c r="C526" s="1037"/>
      <c r="D526" s="1037"/>
      <c r="E526" s="1037"/>
      <c r="F526" s="1037"/>
      <c r="G526" s="1037"/>
      <c r="H526" s="1038"/>
      <c r="I526" s="1032"/>
      <c r="J526" s="593">
        <v>14277.04</v>
      </c>
      <c r="K526" s="642">
        <v>16021.26</v>
      </c>
      <c r="L526" s="643">
        <v>211</v>
      </c>
      <c r="M526" s="1007" t="s">
        <v>672</v>
      </c>
      <c r="N526" s="672">
        <v>1</v>
      </c>
      <c r="O526" s="657">
        <v>1692</v>
      </c>
      <c r="P526" s="646">
        <f>ROUND(N526*O526*12,0)</f>
        <v>20304</v>
      </c>
      <c r="Q526" s="647">
        <v>20304</v>
      </c>
      <c r="R526" s="647">
        <v>20304</v>
      </c>
      <c r="S526" s="647">
        <v>20304</v>
      </c>
      <c r="T526" s="645">
        <v>20304</v>
      </c>
      <c r="U526" s="648">
        <v>20304</v>
      </c>
      <c r="V526" s="649">
        <f t="shared" si="126"/>
        <v>20304</v>
      </c>
      <c r="W526" s="39">
        <v>10846</v>
      </c>
      <c r="X526" s="40">
        <f t="shared" si="127"/>
        <v>10846</v>
      </c>
      <c r="Y526" s="40">
        <f t="shared" si="128"/>
        <v>10846</v>
      </c>
      <c r="Z526" s="40">
        <f t="shared" si="129"/>
        <v>10846</v>
      </c>
      <c r="AA526" s="905"/>
      <c r="AE526" s="452"/>
      <c r="AN526" s="268"/>
      <c r="AO526" s="578"/>
      <c r="AP526" s="578"/>
      <c r="AQ526" s="578"/>
      <c r="AR526" s="578"/>
      <c r="AS526" s="578"/>
      <c r="AT526" s="578"/>
      <c r="AU526" s="578"/>
    </row>
    <row r="527" spans="1:47" ht="58.5" customHeight="1">
      <c r="A527" s="998"/>
      <c r="B527" s="1036"/>
      <c r="C527" s="1037"/>
      <c r="D527" s="1037"/>
      <c r="E527" s="1037"/>
      <c r="F527" s="1037"/>
      <c r="G527" s="1037"/>
      <c r="H527" s="1038"/>
      <c r="I527" s="1032"/>
      <c r="J527" s="593">
        <v>4311.17</v>
      </c>
      <c r="K527" s="642">
        <v>4838.42</v>
      </c>
      <c r="L527" s="643">
        <v>213</v>
      </c>
      <c r="M527" s="1007"/>
      <c r="N527" s="650">
        <v>0.30199999999999999</v>
      </c>
      <c r="O527" s="657"/>
      <c r="P527" s="646">
        <f>ROUND(P526*N527,0)</f>
        <v>6132</v>
      </c>
      <c r="Q527" s="647">
        <v>6132</v>
      </c>
      <c r="R527" s="647">
        <v>6132</v>
      </c>
      <c r="S527" s="647">
        <v>6132</v>
      </c>
      <c r="T527" s="645">
        <v>6132</v>
      </c>
      <c r="U527" s="648">
        <v>6132</v>
      </c>
      <c r="V527" s="649">
        <f t="shared" si="126"/>
        <v>6132</v>
      </c>
      <c r="W527" s="40">
        <v>3276</v>
      </c>
      <c r="X527" s="40">
        <f t="shared" si="127"/>
        <v>3276</v>
      </c>
      <c r="Y527" s="40">
        <f t="shared" si="128"/>
        <v>3276</v>
      </c>
      <c r="Z527" s="40">
        <f t="shared" si="129"/>
        <v>3276</v>
      </c>
      <c r="AE527" s="452"/>
      <c r="AN527" s="268"/>
      <c r="AO527" s="578"/>
      <c r="AP527" s="578"/>
      <c r="AQ527" s="578"/>
      <c r="AR527" s="578"/>
      <c r="AS527" s="578"/>
      <c r="AT527" s="578"/>
      <c r="AU527" s="578"/>
    </row>
    <row r="528" spans="1:47" ht="26.25" customHeight="1">
      <c r="A528" s="998" t="s">
        <v>673</v>
      </c>
      <c r="B528" s="1036"/>
      <c r="C528" s="1037"/>
      <c r="D528" s="1037"/>
      <c r="E528" s="1037"/>
      <c r="F528" s="1037"/>
      <c r="G528" s="1037"/>
      <c r="H528" s="1038"/>
      <c r="I528" s="1032"/>
      <c r="J528" s="593">
        <v>17178</v>
      </c>
      <c r="K528" s="642">
        <v>7416.3729647999999</v>
      </c>
      <c r="L528" s="643">
        <v>211</v>
      </c>
      <c r="M528" s="1007" t="s">
        <v>674</v>
      </c>
      <c r="N528" s="672">
        <v>1</v>
      </c>
      <c r="O528" s="657">
        <v>1452</v>
      </c>
      <c r="P528" s="646">
        <f>ROUND(N528*O528*12,0)</f>
        <v>17424</v>
      </c>
      <c r="Q528" s="646">
        <v>17424</v>
      </c>
      <c r="R528" s="658">
        <v>17424</v>
      </c>
      <c r="S528" s="647">
        <v>17424</v>
      </c>
      <c r="T528" s="659">
        <v>17424</v>
      </c>
      <c r="U528" s="215">
        <v>17424</v>
      </c>
      <c r="V528" s="649">
        <f t="shared" si="126"/>
        <v>17424</v>
      </c>
      <c r="W528" s="40">
        <v>9308</v>
      </c>
      <c r="X528" s="40">
        <f t="shared" si="127"/>
        <v>9308</v>
      </c>
      <c r="Y528" s="40">
        <f t="shared" si="128"/>
        <v>9308</v>
      </c>
      <c r="Z528" s="40">
        <f t="shared" si="129"/>
        <v>9308</v>
      </c>
      <c r="AA528" s="905"/>
      <c r="AE528" s="452"/>
      <c r="AN528" s="268"/>
      <c r="AO528" s="578"/>
      <c r="AP528" s="578"/>
      <c r="AQ528" s="578"/>
      <c r="AR528" s="578"/>
      <c r="AS528" s="578"/>
      <c r="AT528" s="578"/>
      <c r="AU528" s="578"/>
    </row>
    <row r="529" spans="1:47" ht="58.5" customHeight="1">
      <c r="A529" s="998"/>
      <c r="B529" s="1036"/>
      <c r="C529" s="1037"/>
      <c r="D529" s="1037"/>
      <c r="E529" s="1037"/>
      <c r="F529" s="1037"/>
      <c r="G529" s="1037"/>
      <c r="H529" s="1038"/>
      <c r="I529" s="1032"/>
      <c r="J529" s="593">
        <v>8023</v>
      </c>
      <c r="K529" s="642">
        <v>2907.2182022016</v>
      </c>
      <c r="L529" s="643">
        <v>213</v>
      </c>
      <c r="M529" s="1007"/>
      <c r="N529" s="650">
        <v>0.39200000000000002</v>
      </c>
      <c r="O529" s="657"/>
      <c r="P529" s="646">
        <f>ROUND(P528*N529,0)</f>
        <v>6830</v>
      </c>
      <c r="Q529" s="646">
        <v>6830</v>
      </c>
      <c r="R529" s="658">
        <v>6830</v>
      </c>
      <c r="S529" s="647">
        <v>6830</v>
      </c>
      <c r="T529" s="659">
        <v>6830</v>
      </c>
      <c r="U529" s="215">
        <v>6830</v>
      </c>
      <c r="V529" s="649">
        <f t="shared" si="126"/>
        <v>6830</v>
      </c>
      <c r="W529" s="40">
        <v>3649</v>
      </c>
      <c r="X529" s="40">
        <f t="shared" si="127"/>
        <v>3649</v>
      </c>
      <c r="Y529" s="40">
        <f t="shared" si="128"/>
        <v>3649</v>
      </c>
      <c r="Z529" s="40">
        <f t="shared" si="129"/>
        <v>3649</v>
      </c>
      <c r="AE529" s="452"/>
      <c r="AN529" s="268"/>
      <c r="AO529" s="578"/>
      <c r="AP529" s="578"/>
      <c r="AQ529" s="578"/>
      <c r="AR529" s="578"/>
      <c r="AS529" s="578"/>
      <c r="AT529" s="578"/>
      <c r="AU529" s="578"/>
    </row>
    <row r="530" spans="1:47" ht="146.25" customHeight="1">
      <c r="A530" s="998" t="s">
        <v>675</v>
      </c>
      <c r="B530" s="1036"/>
      <c r="C530" s="1037"/>
      <c r="D530" s="1037"/>
      <c r="E530" s="1037"/>
      <c r="F530" s="1037"/>
      <c r="G530" s="1037"/>
      <c r="H530" s="1038"/>
      <c r="I530" s="1032"/>
      <c r="J530" s="662">
        <v>771627.02</v>
      </c>
      <c r="K530" s="642">
        <v>659891.28568608547</v>
      </c>
      <c r="L530" s="643">
        <v>211</v>
      </c>
      <c r="M530" s="1011" t="s">
        <v>676</v>
      </c>
      <c r="N530" s="688">
        <v>75</v>
      </c>
      <c r="O530" s="669">
        <v>1616.2105263157894</v>
      </c>
      <c r="P530" s="646">
        <f>ROUND(N530*O530*12,0)</f>
        <v>1454589</v>
      </c>
      <c r="Q530" s="647">
        <v>1473984</v>
      </c>
      <c r="R530" s="668">
        <v>1532280</v>
      </c>
      <c r="S530" s="647">
        <v>1598082</v>
      </c>
      <c r="T530" s="645">
        <v>1473984</v>
      </c>
      <c r="U530" s="648">
        <f>1473984-40842.62-61512.88</f>
        <v>1371628.5</v>
      </c>
      <c r="V530" s="649">
        <f t="shared" si="126"/>
        <v>1371628.5</v>
      </c>
      <c r="W530" s="40">
        <v>787402</v>
      </c>
      <c r="X530" s="40">
        <f t="shared" si="127"/>
        <v>787402</v>
      </c>
      <c r="Y530" s="40">
        <f t="shared" si="128"/>
        <v>787402</v>
      </c>
      <c r="Z530" s="40">
        <f t="shared" si="129"/>
        <v>787402</v>
      </c>
      <c r="AA530" s="905"/>
      <c r="AE530" s="452"/>
      <c r="AN530" s="268"/>
      <c r="AO530" s="578"/>
      <c r="AP530" s="578"/>
      <c r="AQ530" s="578"/>
      <c r="AR530" s="578"/>
      <c r="AS530" s="578"/>
      <c r="AT530" s="578"/>
      <c r="AU530" s="578"/>
    </row>
    <row r="531" spans="1:47" ht="146.25" customHeight="1">
      <c r="A531" s="998"/>
      <c r="B531" s="1036"/>
      <c r="C531" s="1037"/>
      <c r="D531" s="1037"/>
      <c r="E531" s="1037"/>
      <c r="F531" s="1037"/>
      <c r="G531" s="1037"/>
      <c r="H531" s="1038"/>
      <c r="I531" s="1032"/>
      <c r="J531" s="662">
        <v>238813.62</v>
      </c>
      <c r="K531" s="642">
        <v>204830.69</v>
      </c>
      <c r="L531" s="643">
        <v>213</v>
      </c>
      <c r="M531" s="1008"/>
      <c r="N531" s="650">
        <v>0.31</v>
      </c>
      <c r="O531" s="669"/>
      <c r="P531" s="646">
        <f>ROUND(P530*N531,0)</f>
        <v>450923</v>
      </c>
      <c r="Q531" s="647">
        <v>456935.04</v>
      </c>
      <c r="R531" s="647">
        <f>ROUND(R530*N531,0)</f>
        <v>475007</v>
      </c>
      <c r="S531" s="647">
        <f>ROUND(S530*N531,0)</f>
        <v>495405</v>
      </c>
      <c r="T531" s="645">
        <v>456935</v>
      </c>
      <c r="U531" s="648">
        <f>456935-12502.07-19170.03</f>
        <v>425262.9</v>
      </c>
      <c r="V531" s="649">
        <f t="shared" si="126"/>
        <v>425262.9</v>
      </c>
      <c r="W531" s="40">
        <v>244095</v>
      </c>
      <c r="X531" s="40">
        <f t="shared" si="127"/>
        <v>244095</v>
      </c>
      <c r="Y531" s="40">
        <f t="shared" si="128"/>
        <v>244095</v>
      </c>
      <c r="Z531" s="40">
        <f t="shared" si="129"/>
        <v>244095</v>
      </c>
      <c r="AE531" s="452"/>
      <c r="AN531" s="268"/>
      <c r="AO531" s="578"/>
      <c r="AP531" s="578"/>
      <c r="AQ531" s="578"/>
      <c r="AR531" s="578"/>
      <c r="AS531" s="578"/>
      <c r="AT531" s="578"/>
      <c r="AU531" s="578"/>
    </row>
    <row r="532" spans="1:47" ht="130.5" customHeight="1">
      <c r="A532" s="998" t="s">
        <v>677</v>
      </c>
      <c r="B532" s="1036"/>
      <c r="C532" s="1037"/>
      <c r="D532" s="1037"/>
      <c r="E532" s="1037"/>
      <c r="F532" s="1037"/>
      <c r="G532" s="1037"/>
      <c r="H532" s="1038"/>
      <c r="I532" s="1032"/>
      <c r="J532" s="642">
        <v>328793</v>
      </c>
      <c r="K532" s="642">
        <v>480774.93647400005</v>
      </c>
      <c r="L532" s="643">
        <v>211</v>
      </c>
      <c r="M532" s="1013" t="s">
        <v>678</v>
      </c>
      <c r="N532" s="679">
        <v>64</v>
      </c>
      <c r="O532" s="645">
        <v>1572</v>
      </c>
      <c r="P532" s="646">
        <f>ROUND(N532*O532*12,0)</f>
        <v>1207296</v>
      </c>
      <c r="Q532" s="647">
        <v>867744</v>
      </c>
      <c r="R532" s="647">
        <v>867744</v>
      </c>
      <c r="S532" s="647">
        <v>867744</v>
      </c>
      <c r="T532" s="645">
        <v>867744</v>
      </c>
      <c r="U532" s="648">
        <v>1190688</v>
      </c>
      <c r="V532" s="649">
        <f t="shared" si="126"/>
        <v>1190688</v>
      </c>
      <c r="W532" s="40">
        <v>778171</v>
      </c>
      <c r="X532" s="40">
        <f t="shared" si="127"/>
        <v>778171</v>
      </c>
      <c r="Y532" s="40">
        <f>W532</f>
        <v>778171</v>
      </c>
      <c r="Z532" s="40">
        <f t="shared" si="129"/>
        <v>778171</v>
      </c>
      <c r="AA532" s="905"/>
      <c r="AE532" s="452"/>
      <c r="AN532" s="268"/>
      <c r="AO532" s="578"/>
      <c r="AP532" s="578"/>
      <c r="AQ532" s="578"/>
      <c r="AR532" s="578"/>
      <c r="AS532" s="578"/>
      <c r="AT532" s="578"/>
      <c r="AU532" s="578"/>
    </row>
    <row r="533" spans="1:47" ht="146.25" customHeight="1">
      <c r="A533" s="1012"/>
      <c r="B533" s="1036"/>
      <c r="C533" s="1037"/>
      <c r="D533" s="1037"/>
      <c r="E533" s="1037"/>
      <c r="F533" s="1037"/>
      <c r="G533" s="1037"/>
      <c r="H533" s="1038"/>
      <c r="I533" s="1032"/>
      <c r="J533" s="642">
        <v>104067</v>
      </c>
      <c r="K533" s="642">
        <v>145194.030815148</v>
      </c>
      <c r="L533" s="643">
        <v>213</v>
      </c>
      <c r="M533" s="1014"/>
      <c r="N533" s="650">
        <v>0.30199999999999999</v>
      </c>
      <c r="O533" s="645"/>
      <c r="P533" s="646">
        <f>ROUND(P532*N533,0)</f>
        <v>364603</v>
      </c>
      <c r="Q533" s="647">
        <v>262059</v>
      </c>
      <c r="R533" s="647">
        <v>262059</v>
      </c>
      <c r="S533" s="647">
        <v>262059</v>
      </c>
      <c r="T533" s="645">
        <v>262059</v>
      </c>
      <c r="U533" s="648">
        <v>359588</v>
      </c>
      <c r="V533" s="649">
        <f t="shared" si="126"/>
        <v>359588</v>
      </c>
      <c r="W533" s="40">
        <v>235008</v>
      </c>
      <c r="X533" s="40">
        <f t="shared" si="127"/>
        <v>235008</v>
      </c>
      <c r="Y533" s="40">
        <f t="shared" si="128"/>
        <v>235008</v>
      </c>
      <c r="Z533" s="40">
        <f t="shared" si="129"/>
        <v>235008</v>
      </c>
      <c r="AB533" s="905"/>
      <c r="AE533" s="452"/>
      <c r="AN533" s="268"/>
      <c r="AO533" s="578"/>
      <c r="AP533" s="578"/>
      <c r="AQ533" s="578"/>
      <c r="AR533" s="578"/>
      <c r="AS533" s="578"/>
      <c r="AT533" s="578"/>
      <c r="AU533" s="578"/>
    </row>
    <row r="534" spans="1:47" ht="46.5" hidden="1" customHeight="1">
      <c r="A534" s="1012"/>
      <c r="B534" s="1036"/>
      <c r="C534" s="1037"/>
      <c r="D534" s="1037"/>
      <c r="E534" s="1037"/>
      <c r="F534" s="1037"/>
      <c r="G534" s="1037"/>
      <c r="H534" s="1038"/>
      <c r="I534" s="1032"/>
      <c r="J534" s="642">
        <v>176773</v>
      </c>
      <c r="K534" s="642">
        <v>304842.04954738001</v>
      </c>
      <c r="L534" s="643">
        <v>211</v>
      </c>
      <c r="M534" s="1015" t="s">
        <v>679</v>
      </c>
      <c r="N534" s="689">
        <v>30</v>
      </c>
      <c r="O534" s="642">
        <v>1636</v>
      </c>
      <c r="P534" s="660">
        <f>ROUND(N534*O534*12,0)</f>
        <v>588960</v>
      </c>
      <c r="Q534" s="661">
        <v>588960</v>
      </c>
      <c r="R534" s="661">
        <v>588960</v>
      </c>
      <c r="S534" s="661">
        <v>588960</v>
      </c>
      <c r="T534" s="662">
        <v>588960</v>
      </c>
      <c r="U534" s="690">
        <v>0</v>
      </c>
      <c r="V534" s="649">
        <v>0</v>
      </c>
      <c r="W534" s="40">
        <v>0</v>
      </c>
      <c r="X534" s="40">
        <v>0</v>
      </c>
      <c r="Y534" s="40">
        <f t="shared" si="128"/>
        <v>0</v>
      </c>
      <c r="Z534" s="40">
        <f t="shared" si="129"/>
        <v>0</v>
      </c>
      <c r="AB534" s="905"/>
      <c r="AE534" s="452"/>
      <c r="AN534" s="268"/>
      <c r="AO534" s="578"/>
      <c r="AP534" s="578"/>
      <c r="AQ534" s="578"/>
      <c r="AR534" s="578"/>
      <c r="AS534" s="578"/>
      <c r="AT534" s="578"/>
      <c r="AU534" s="578"/>
    </row>
    <row r="535" spans="1:47" ht="82.5" hidden="1" customHeight="1">
      <c r="A535" s="1012"/>
      <c r="B535" s="1036"/>
      <c r="C535" s="1037"/>
      <c r="D535" s="1037"/>
      <c r="E535" s="1037"/>
      <c r="F535" s="1037"/>
      <c r="G535" s="1037"/>
      <c r="H535" s="1038"/>
      <c r="I535" s="1032"/>
      <c r="J535" s="642">
        <v>56411</v>
      </c>
      <c r="K535" s="642">
        <v>92062.298963308756</v>
      </c>
      <c r="L535" s="643">
        <v>213</v>
      </c>
      <c r="M535" s="1016"/>
      <c r="N535" s="691">
        <v>0.30199999999999999</v>
      </c>
      <c r="O535" s="642"/>
      <c r="P535" s="660">
        <f>ROUND(P534*N535,0)</f>
        <v>177866</v>
      </c>
      <c r="Q535" s="661">
        <v>177866</v>
      </c>
      <c r="R535" s="661">
        <v>177866</v>
      </c>
      <c r="S535" s="661">
        <v>177866</v>
      </c>
      <c r="T535" s="662">
        <v>177866</v>
      </c>
      <c r="U535" s="690">
        <v>0</v>
      </c>
      <c r="V535" s="649">
        <f t="shared" si="126"/>
        <v>0</v>
      </c>
      <c r="W535" s="40">
        <v>0</v>
      </c>
      <c r="X535" s="40">
        <f t="shared" si="127"/>
        <v>0</v>
      </c>
      <c r="Y535" s="40">
        <f t="shared" si="128"/>
        <v>0</v>
      </c>
      <c r="Z535" s="40">
        <f t="shared" si="129"/>
        <v>0</v>
      </c>
      <c r="AE535" s="452"/>
      <c r="AN535" s="268"/>
      <c r="AO535" s="578"/>
      <c r="AP535" s="578"/>
      <c r="AQ535" s="578"/>
      <c r="AR535" s="578"/>
      <c r="AS535" s="578"/>
      <c r="AT535" s="578"/>
      <c r="AU535" s="578"/>
    </row>
    <row r="536" spans="1:47" ht="45" customHeight="1">
      <c r="A536" s="998" t="s">
        <v>680</v>
      </c>
      <c r="B536" s="1036"/>
      <c r="C536" s="1037"/>
      <c r="D536" s="1037"/>
      <c r="E536" s="1037"/>
      <c r="F536" s="1037"/>
      <c r="G536" s="1037"/>
      <c r="H536" s="1038"/>
      <c r="I536" s="1032"/>
      <c r="J536" s="593">
        <v>27463.24</v>
      </c>
      <c r="K536" s="642">
        <v>24103.212135600006</v>
      </c>
      <c r="L536" s="643">
        <v>211</v>
      </c>
      <c r="M536" s="1007" t="s">
        <v>681</v>
      </c>
      <c r="N536" s="656">
        <v>4</v>
      </c>
      <c r="O536" s="657">
        <v>1452</v>
      </c>
      <c r="P536" s="646">
        <f>ROUND(N536*O536*12,0)</f>
        <v>69696</v>
      </c>
      <c r="Q536" s="647">
        <v>52272</v>
      </c>
      <c r="R536" s="647">
        <v>52272</v>
      </c>
      <c r="S536" s="647">
        <v>52272</v>
      </c>
      <c r="T536" s="645">
        <v>52272</v>
      </c>
      <c r="U536" s="648">
        <v>52271.89</v>
      </c>
      <c r="V536" s="649">
        <f t="shared" si="126"/>
        <v>52271.89</v>
      </c>
      <c r="W536" s="40">
        <v>27924</v>
      </c>
      <c r="X536" s="40">
        <f t="shared" si="127"/>
        <v>27924</v>
      </c>
      <c r="Y536" s="40">
        <f t="shared" si="128"/>
        <v>27924</v>
      </c>
      <c r="Z536" s="40">
        <f t="shared" si="129"/>
        <v>27924</v>
      </c>
      <c r="AA536" s="905"/>
      <c r="AE536" s="452"/>
      <c r="AN536" s="268"/>
      <c r="AO536" s="578"/>
      <c r="AP536" s="578"/>
      <c r="AQ536" s="578"/>
      <c r="AR536" s="578"/>
      <c r="AS536" s="578"/>
      <c r="AT536" s="578"/>
      <c r="AU536" s="578"/>
    </row>
    <row r="537" spans="1:47" ht="64.5" customHeight="1">
      <c r="A537" s="998"/>
      <c r="B537" s="1036"/>
      <c r="C537" s="1037"/>
      <c r="D537" s="1037"/>
      <c r="E537" s="1037"/>
      <c r="F537" s="1037"/>
      <c r="G537" s="1037"/>
      <c r="H537" s="1038"/>
      <c r="I537" s="1032"/>
      <c r="J537" s="593">
        <v>8293.9</v>
      </c>
      <c r="K537" s="642">
        <v>7278.82</v>
      </c>
      <c r="L537" s="643">
        <v>213</v>
      </c>
      <c r="M537" s="1007"/>
      <c r="N537" s="650">
        <v>0.30199999999999999</v>
      </c>
      <c r="O537" s="657"/>
      <c r="P537" s="646">
        <f>ROUND(P536*N537,0)</f>
        <v>21048</v>
      </c>
      <c r="Q537" s="647">
        <v>15786</v>
      </c>
      <c r="R537" s="647">
        <v>15786</v>
      </c>
      <c r="S537" s="647">
        <v>15786</v>
      </c>
      <c r="T537" s="645">
        <v>15786</v>
      </c>
      <c r="U537" s="648">
        <v>15786.11</v>
      </c>
      <c r="V537" s="649">
        <f t="shared" si="126"/>
        <v>15786.11</v>
      </c>
      <c r="W537" s="40">
        <v>8433</v>
      </c>
      <c r="X537" s="40">
        <f t="shared" si="127"/>
        <v>8433</v>
      </c>
      <c r="Y537" s="40">
        <f t="shared" si="128"/>
        <v>8433</v>
      </c>
      <c r="Z537" s="40">
        <f t="shared" si="129"/>
        <v>8433</v>
      </c>
      <c r="AE537" s="452"/>
      <c r="AN537" s="268"/>
      <c r="AO537" s="578"/>
      <c r="AP537" s="578"/>
      <c r="AQ537" s="578"/>
      <c r="AR537" s="578"/>
      <c r="AS537" s="578"/>
      <c r="AT537" s="578"/>
      <c r="AU537" s="578"/>
    </row>
    <row r="538" spans="1:47" ht="102" customHeight="1">
      <c r="A538" s="998" t="s">
        <v>682</v>
      </c>
      <c r="B538" s="1036"/>
      <c r="C538" s="1037"/>
      <c r="D538" s="1037"/>
      <c r="E538" s="1037"/>
      <c r="F538" s="1037"/>
      <c r="G538" s="1037"/>
      <c r="H538" s="1038"/>
      <c r="I538" s="1032"/>
      <c r="J538" s="593">
        <v>143236.26</v>
      </c>
      <c r="K538" s="642">
        <v>117190.577358</v>
      </c>
      <c r="L538" s="643">
        <v>211</v>
      </c>
      <c r="M538" s="1007" t="s">
        <v>683</v>
      </c>
      <c r="N538" s="672">
        <v>15</v>
      </c>
      <c r="O538" s="657">
        <v>1548</v>
      </c>
      <c r="P538" s="646">
        <f>ROUND(N538*O538*12,0)</f>
        <v>278640</v>
      </c>
      <c r="Q538" s="647">
        <v>278640</v>
      </c>
      <c r="R538" s="647">
        <v>278640</v>
      </c>
      <c r="S538" s="647">
        <v>278640</v>
      </c>
      <c r="T538" s="645">
        <v>278640</v>
      </c>
      <c r="U538" s="648">
        <v>278640</v>
      </c>
      <c r="V538" s="649">
        <f t="shared" si="126"/>
        <v>278640</v>
      </c>
      <c r="W538" s="40">
        <v>148849</v>
      </c>
      <c r="X538" s="40">
        <f t="shared" si="127"/>
        <v>148849</v>
      </c>
      <c r="Y538" s="40">
        <f t="shared" si="128"/>
        <v>148849</v>
      </c>
      <c r="Z538" s="40">
        <f t="shared" si="129"/>
        <v>148849</v>
      </c>
      <c r="AA538" s="905"/>
      <c r="AE538" s="452"/>
      <c r="AN538" s="268"/>
      <c r="AO538" s="578"/>
      <c r="AP538" s="578"/>
      <c r="AQ538" s="578"/>
      <c r="AR538" s="578"/>
      <c r="AS538" s="578"/>
      <c r="AT538" s="578"/>
      <c r="AU538" s="578"/>
    </row>
    <row r="539" spans="1:47" ht="84" customHeight="1">
      <c r="A539" s="998"/>
      <c r="B539" s="1036"/>
      <c r="C539" s="1037"/>
      <c r="D539" s="1037"/>
      <c r="E539" s="1037"/>
      <c r="F539" s="1037"/>
      <c r="G539" s="1037"/>
      <c r="H539" s="1038"/>
      <c r="I539" s="1032"/>
      <c r="J539" s="593">
        <v>45164.89</v>
      </c>
      <c r="K539" s="642">
        <v>39392.71</v>
      </c>
      <c r="L539" s="643">
        <v>213</v>
      </c>
      <c r="M539" s="1008"/>
      <c r="N539" s="650">
        <v>0.34200000000000003</v>
      </c>
      <c r="O539" s="657"/>
      <c r="P539" s="646">
        <f>ROUND(P538*N539,0)</f>
        <v>95295</v>
      </c>
      <c r="Q539" s="647">
        <v>95295</v>
      </c>
      <c r="R539" s="647">
        <v>95295</v>
      </c>
      <c r="S539" s="647">
        <v>95295</v>
      </c>
      <c r="T539" s="645">
        <v>95295</v>
      </c>
      <c r="U539" s="648">
        <f>95295-7660.92</f>
        <v>87634.08</v>
      </c>
      <c r="V539" s="649">
        <f t="shared" si="126"/>
        <v>87634.08</v>
      </c>
      <c r="W539" s="40">
        <v>50907</v>
      </c>
      <c r="X539" s="40">
        <f t="shared" si="127"/>
        <v>50907</v>
      </c>
      <c r="Y539" s="40">
        <f t="shared" si="128"/>
        <v>50907</v>
      </c>
      <c r="Z539" s="40">
        <f t="shared" si="129"/>
        <v>50907</v>
      </c>
      <c r="AE539" s="452"/>
      <c r="AN539" s="268"/>
      <c r="AO539" s="578"/>
      <c r="AP539" s="578"/>
      <c r="AQ539" s="578"/>
      <c r="AR539" s="578"/>
      <c r="AS539" s="578"/>
      <c r="AT539" s="578"/>
      <c r="AU539" s="578"/>
    </row>
    <row r="540" spans="1:47" ht="105" customHeight="1">
      <c r="A540" s="998" t="s">
        <v>684</v>
      </c>
      <c r="B540" s="1036"/>
      <c r="C540" s="1037"/>
      <c r="D540" s="1037"/>
      <c r="E540" s="1037"/>
      <c r="F540" s="1037"/>
      <c r="G540" s="1037"/>
      <c r="H540" s="1038"/>
      <c r="I540" s="1032"/>
      <c r="J540" s="593">
        <v>222372.25</v>
      </c>
      <c r="K540" s="642">
        <v>187221.98511000001</v>
      </c>
      <c r="L540" s="643">
        <v>211</v>
      </c>
      <c r="M540" s="1009" t="s">
        <v>685</v>
      </c>
      <c r="N540" s="679">
        <v>20</v>
      </c>
      <c r="O540" s="645">
        <v>1596</v>
      </c>
      <c r="P540" s="646">
        <f>ROUND(N540*O540*12,0)</f>
        <v>383040</v>
      </c>
      <c r="Q540" s="647">
        <v>383040</v>
      </c>
      <c r="R540" s="647">
        <v>383040</v>
      </c>
      <c r="S540" s="647">
        <v>383040</v>
      </c>
      <c r="T540" s="645">
        <v>383040</v>
      </c>
      <c r="U540" s="648">
        <v>383040</v>
      </c>
      <c r="V540" s="649">
        <f t="shared" si="126"/>
        <v>383040</v>
      </c>
      <c r="W540" s="40">
        <v>204620</v>
      </c>
      <c r="X540" s="40">
        <f t="shared" si="127"/>
        <v>204620</v>
      </c>
      <c r="Y540" s="40">
        <f t="shared" si="128"/>
        <v>204620</v>
      </c>
      <c r="Z540" s="40">
        <f t="shared" si="129"/>
        <v>204620</v>
      </c>
      <c r="AA540" s="905"/>
      <c r="AE540" s="452"/>
      <c r="AN540" s="268"/>
      <c r="AO540" s="578"/>
      <c r="AP540" s="578"/>
      <c r="AQ540" s="578"/>
      <c r="AR540" s="578"/>
      <c r="AS540" s="578"/>
      <c r="AT540" s="578"/>
      <c r="AU540" s="578"/>
    </row>
    <row r="541" spans="1:47" ht="174.75" customHeight="1">
      <c r="A541" s="998"/>
      <c r="B541" s="1036"/>
      <c r="C541" s="1037"/>
      <c r="D541" s="1037"/>
      <c r="E541" s="1037"/>
      <c r="F541" s="1037"/>
      <c r="G541" s="1037"/>
      <c r="H541" s="1038"/>
      <c r="I541" s="1032"/>
      <c r="J541" s="642">
        <v>68413.17</v>
      </c>
      <c r="K541" s="642">
        <v>57727.722172054993</v>
      </c>
      <c r="L541" s="643">
        <v>213</v>
      </c>
      <c r="M541" s="1008"/>
      <c r="N541" s="650">
        <v>0.30930000000000002</v>
      </c>
      <c r="O541" s="645"/>
      <c r="P541" s="646">
        <f>ROUND(P540*N541,0)</f>
        <v>118474</v>
      </c>
      <c r="Q541" s="647">
        <v>118474</v>
      </c>
      <c r="R541" s="647">
        <v>118474</v>
      </c>
      <c r="S541" s="647">
        <v>118474</v>
      </c>
      <c r="T541" s="645">
        <v>118474</v>
      </c>
      <c r="U541" s="648">
        <v>118474</v>
      </c>
      <c r="V541" s="649">
        <f t="shared" ref="V541:V546" si="130">U541</f>
        <v>118474</v>
      </c>
      <c r="W541" s="40">
        <v>63289</v>
      </c>
      <c r="X541" s="40">
        <f>W541</f>
        <v>63289</v>
      </c>
      <c r="Y541" s="40">
        <f t="shared" ref="Y541:Y546" si="131">W541</f>
        <v>63289</v>
      </c>
      <c r="Z541" s="40">
        <f t="shared" ref="Z541:Z546" si="132">Y541</f>
        <v>63289</v>
      </c>
      <c r="AE541" s="452"/>
      <c r="AN541" s="268"/>
      <c r="AO541" s="578"/>
      <c r="AP541" s="578"/>
      <c r="AQ541" s="578"/>
      <c r="AR541" s="578"/>
      <c r="AS541" s="578"/>
      <c r="AT541" s="578"/>
      <c r="AU541" s="578"/>
    </row>
    <row r="542" spans="1:47" ht="36" customHeight="1">
      <c r="A542" s="998" t="s">
        <v>686</v>
      </c>
      <c r="B542" s="1036"/>
      <c r="C542" s="1037"/>
      <c r="D542" s="1037"/>
      <c r="E542" s="1037"/>
      <c r="F542" s="1037"/>
      <c r="G542" s="1037"/>
      <c r="H542" s="1038"/>
      <c r="I542" s="1032"/>
      <c r="J542" s="593">
        <v>28614.78</v>
      </c>
      <c r="K542" s="642">
        <v>39007.192462000006</v>
      </c>
      <c r="L542" s="643">
        <v>211</v>
      </c>
      <c r="M542" s="1010" t="s">
        <v>687</v>
      </c>
      <c r="N542" s="692">
        <v>2</v>
      </c>
      <c r="O542" s="664">
        <v>1512</v>
      </c>
      <c r="P542" s="646">
        <f>ROUND(N542*O542*12,0)</f>
        <v>36288</v>
      </c>
      <c r="Q542" s="646">
        <v>36288</v>
      </c>
      <c r="R542" s="646">
        <v>36288</v>
      </c>
      <c r="S542" s="646">
        <v>36288</v>
      </c>
      <c r="T542" s="659">
        <v>36288</v>
      </c>
      <c r="U542" s="215">
        <v>36288.019999999997</v>
      </c>
      <c r="V542" s="649">
        <f t="shared" si="130"/>
        <v>36288.019999999997</v>
      </c>
      <c r="W542" s="40">
        <v>19385</v>
      </c>
      <c r="X542" s="40">
        <f>W542</f>
        <v>19385</v>
      </c>
      <c r="Y542" s="40">
        <f t="shared" si="131"/>
        <v>19385</v>
      </c>
      <c r="Z542" s="40">
        <f t="shared" si="132"/>
        <v>19385</v>
      </c>
      <c r="AA542" s="905"/>
      <c r="AE542" s="452"/>
      <c r="AN542" s="268"/>
      <c r="AO542" s="578"/>
      <c r="AP542" s="578"/>
      <c r="AQ542" s="578"/>
      <c r="AR542" s="578"/>
      <c r="AS542" s="578"/>
      <c r="AT542" s="578"/>
      <c r="AU542" s="578"/>
    </row>
    <row r="543" spans="1:47" ht="117" customHeight="1">
      <c r="A543" s="998"/>
      <c r="B543" s="1036"/>
      <c r="C543" s="1037"/>
      <c r="D543" s="1037"/>
      <c r="E543" s="1037"/>
      <c r="F543" s="1037"/>
      <c r="G543" s="1037"/>
      <c r="H543" s="1038"/>
      <c r="I543" s="1032"/>
      <c r="J543" s="593">
        <v>9199</v>
      </c>
      <c r="K543" s="642">
        <v>11780.02493</v>
      </c>
      <c r="L543" s="643">
        <v>213</v>
      </c>
      <c r="M543" s="1008"/>
      <c r="N543" s="650">
        <v>0.30199999999999999</v>
      </c>
      <c r="O543" s="664"/>
      <c r="P543" s="646">
        <f>ROUND(P542*N543,0)</f>
        <v>10959</v>
      </c>
      <c r="Q543" s="646">
        <v>10959</v>
      </c>
      <c r="R543" s="646">
        <v>10959</v>
      </c>
      <c r="S543" s="646">
        <v>10959</v>
      </c>
      <c r="T543" s="659">
        <v>10959</v>
      </c>
      <c r="U543" s="215">
        <v>10958.98</v>
      </c>
      <c r="V543" s="649">
        <f t="shared" si="130"/>
        <v>10958.98</v>
      </c>
      <c r="W543" s="40">
        <v>5854</v>
      </c>
      <c r="X543" s="40">
        <f>W543</f>
        <v>5854</v>
      </c>
      <c r="Y543" s="40">
        <f t="shared" si="131"/>
        <v>5854</v>
      </c>
      <c r="Z543" s="40">
        <f t="shared" si="132"/>
        <v>5854</v>
      </c>
      <c r="AE543" s="452"/>
      <c r="AN543" s="268"/>
      <c r="AO543" s="578"/>
      <c r="AP543" s="578"/>
      <c r="AQ543" s="578"/>
      <c r="AR543" s="578"/>
      <c r="AS543" s="578"/>
      <c r="AT543" s="578"/>
      <c r="AU543" s="578"/>
    </row>
    <row r="544" spans="1:47" ht="29.25" customHeight="1">
      <c r="A544" s="998" t="s">
        <v>688</v>
      </c>
      <c r="B544" s="1036"/>
      <c r="C544" s="1037"/>
      <c r="D544" s="1037"/>
      <c r="E544" s="1037"/>
      <c r="F544" s="1037"/>
      <c r="G544" s="1037"/>
      <c r="H544" s="1038"/>
      <c r="I544" s="1032"/>
      <c r="J544" s="593">
        <v>25451.84</v>
      </c>
      <c r="K544" s="642">
        <v>18002.585727000001</v>
      </c>
      <c r="L544" s="643">
        <v>211</v>
      </c>
      <c r="M544" s="999" t="s">
        <v>689</v>
      </c>
      <c r="N544" s="693">
        <v>1</v>
      </c>
      <c r="O544" s="694">
        <f>ROUND(12100*0.12,1)</f>
        <v>1452</v>
      </c>
      <c r="P544" s="646">
        <f>ROUND(N544*O544*12,0)</f>
        <v>17424</v>
      </c>
      <c r="Q544" s="646">
        <v>17424</v>
      </c>
      <c r="R544" s="658">
        <v>17424</v>
      </c>
      <c r="S544" s="647">
        <v>17424</v>
      </c>
      <c r="T544" s="659">
        <v>17424</v>
      </c>
      <c r="U544" s="215">
        <v>17424</v>
      </c>
      <c r="V544" s="649">
        <f t="shared" si="130"/>
        <v>17424</v>
      </c>
      <c r="W544" s="40">
        <v>9307</v>
      </c>
      <c r="X544" s="40">
        <f>W544</f>
        <v>9307</v>
      </c>
      <c r="Y544" s="40">
        <f t="shared" si="131"/>
        <v>9307</v>
      </c>
      <c r="Z544" s="40">
        <f t="shared" si="132"/>
        <v>9307</v>
      </c>
      <c r="AA544" s="905"/>
      <c r="AE544" s="452"/>
      <c r="AN544" s="268"/>
      <c r="AO544" s="578"/>
      <c r="AP544" s="578"/>
      <c r="AQ544" s="578"/>
      <c r="AR544" s="578"/>
      <c r="AS544" s="578"/>
      <c r="AT544" s="578"/>
      <c r="AU544" s="578"/>
    </row>
    <row r="545" spans="1:47" ht="79.5" customHeight="1">
      <c r="A545" s="998"/>
      <c r="B545" s="1039"/>
      <c r="C545" s="1040"/>
      <c r="D545" s="1040"/>
      <c r="E545" s="1040"/>
      <c r="F545" s="1040"/>
      <c r="G545" s="1040"/>
      <c r="H545" s="1041"/>
      <c r="I545" s="1032"/>
      <c r="J545" s="593">
        <v>8570.77</v>
      </c>
      <c r="K545" s="642">
        <v>5436.7745293400003</v>
      </c>
      <c r="L545" s="643">
        <v>213</v>
      </c>
      <c r="M545" s="999"/>
      <c r="N545" s="650">
        <v>0.30220000000000002</v>
      </c>
      <c r="O545" s="694"/>
      <c r="P545" s="646">
        <f>ROUND(P544*N545,0)</f>
        <v>5266</v>
      </c>
      <c r="Q545" s="646">
        <v>5266</v>
      </c>
      <c r="R545" s="646">
        <v>5266</v>
      </c>
      <c r="S545" s="646">
        <v>5266</v>
      </c>
      <c r="T545" s="659">
        <v>5266</v>
      </c>
      <c r="U545" s="215">
        <v>5266</v>
      </c>
      <c r="V545" s="649">
        <f t="shared" si="130"/>
        <v>5266</v>
      </c>
      <c r="W545" s="40">
        <v>2813</v>
      </c>
      <c r="X545" s="40">
        <f>W545</f>
        <v>2813</v>
      </c>
      <c r="Y545" s="40">
        <f t="shared" si="131"/>
        <v>2813</v>
      </c>
      <c r="Z545" s="40">
        <f t="shared" si="132"/>
        <v>2813</v>
      </c>
      <c r="AE545" s="452"/>
      <c r="AN545" s="268"/>
      <c r="AO545" s="578"/>
      <c r="AP545" s="578"/>
      <c r="AQ545" s="578"/>
      <c r="AR545" s="578"/>
      <c r="AS545" s="578"/>
      <c r="AT545" s="578"/>
      <c r="AU545" s="578"/>
    </row>
    <row r="546" spans="1:47" ht="85.5" customHeight="1">
      <c r="A546" s="695" t="s">
        <v>132</v>
      </c>
      <c r="B546" s="696"/>
      <c r="C546" s="697"/>
      <c r="D546" s="697"/>
      <c r="E546" s="697"/>
      <c r="F546" s="697"/>
      <c r="G546" s="697"/>
      <c r="H546" s="698"/>
      <c r="I546" s="233"/>
      <c r="J546" s="593"/>
      <c r="K546" s="642"/>
      <c r="L546" s="643"/>
      <c r="M546" s="699"/>
      <c r="N546" s="691"/>
      <c r="O546" s="700"/>
      <c r="P546" s="660"/>
      <c r="Q546" s="660"/>
      <c r="R546" s="660"/>
      <c r="S546" s="660"/>
      <c r="T546" s="120"/>
      <c r="U546" s="39">
        <v>1133879.05</v>
      </c>
      <c r="V546" s="649">
        <f t="shared" si="130"/>
        <v>1133879.05</v>
      </c>
      <c r="W546" s="40">
        <v>600000</v>
      </c>
      <c r="X546" s="40">
        <v>600000</v>
      </c>
      <c r="Y546" s="40">
        <f t="shared" si="131"/>
        <v>600000</v>
      </c>
      <c r="Z546" s="40">
        <f t="shared" si="132"/>
        <v>600000</v>
      </c>
      <c r="AE546" s="452"/>
      <c r="AN546" s="268"/>
      <c r="AO546" s="578"/>
      <c r="AP546" s="578"/>
      <c r="AQ546" s="578"/>
      <c r="AR546" s="578"/>
      <c r="AS546" s="578"/>
      <c r="AT546" s="578"/>
      <c r="AU546" s="578"/>
    </row>
    <row r="547" spans="1:47" ht="45" customHeight="1">
      <c r="A547" s="701" t="s">
        <v>200</v>
      </c>
      <c r="B547" s="1000"/>
      <c r="C547" s="1001"/>
      <c r="D547" s="1001"/>
      <c r="E547" s="1001"/>
      <c r="F547" s="1001"/>
      <c r="G547" s="1001"/>
      <c r="H547" s="1001"/>
      <c r="I547" s="1002" t="s">
        <v>690</v>
      </c>
      <c r="J547" s="702">
        <f>J548+J549</f>
        <v>1124163.07</v>
      </c>
      <c r="K547" s="703">
        <v>1054620</v>
      </c>
      <c r="L547" s="704" t="s">
        <v>618</v>
      </c>
      <c r="M547" s="705"/>
      <c r="N547" s="706">
        <f>N554+N556+N558+N560+N562</f>
        <v>17</v>
      </c>
      <c r="O547" s="707">
        <v>5000</v>
      </c>
      <c r="P547" s="707">
        <f t="shared" ref="P547:Z547" si="133">P548+P549</f>
        <v>1328040</v>
      </c>
      <c r="Q547" s="707">
        <f t="shared" si="133"/>
        <v>1249920</v>
      </c>
      <c r="R547" s="707">
        <f t="shared" si="133"/>
        <v>1249920</v>
      </c>
      <c r="S547" s="707">
        <f t="shared" si="133"/>
        <v>1249920</v>
      </c>
      <c r="T547" s="708">
        <f t="shared" si="133"/>
        <v>1249920</v>
      </c>
      <c r="U547" s="703">
        <f t="shared" si="133"/>
        <v>1328040</v>
      </c>
      <c r="V547" s="703">
        <f t="shared" si="133"/>
        <v>1328040</v>
      </c>
      <c r="W547" s="703">
        <f t="shared" si="133"/>
        <v>667706</v>
      </c>
      <c r="X547" s="703">
        <f t="shared" si="133"/>
        <v>667706</v>
      </c>
      <c r="Y547" s="703">
        <f t="shared" si="133"/>
        <v>667706</v>
      </c>
      <c r="Z547" s="703">
        <f t="shared" si="133"/>
        <v>667706</v>
      </c>
      <c r="AE547" s="452"/>
      <c r="AN547" s="268"/>
      <c r="AO547" s="578"/>
      <c r="AP547" s="578"/>
      <c r="AQ547" s="578"/>
      <c r="AR547" s="578"/>
      <c r="AS547" s="578"/>
      <c r="AT547" s="578"/>
      <c r="AU547" s="578"/>
    </row>
    <row r="548" spans="1:47" ht="38.25" customHeight="1">
      <c r="A548" s="709"/>
      <c r="B548" s="982" t="s">
        <v>691</v>
      </c>
      <c r="C548" s="1003"/>
      <c r="D548" s="1003"/>
      <c r="E548" s="1003"/>
      <c r="F548" s="1003"/>
      <c r="G548" s="1003"/>
      <c r="H548" s="1003"/>
      <c r="I548" s="1002"/>
      <c r="J548" s="593">
        <f>J550+J552+J554+J556+J558+J560+J562</f>
        <v>863710.98</v>
      </c>
      <c r="K548" s="593">
        <f>K550+K552+K554+K556+K558+K560+K562</f>
        <v>1620000</v>
      </c>
      <c r="L548" s="628">
        <v>211</v>
      </c>
      <c r="M548" s="629"/>
      <c r="N548" s="710">
        <f t="shared" ref="N548:Y549" si="134">N550+N552+N554+N556+N558+N560+N562</f>
        <v>17</v>
      </c>
      <c r="O548" s="613">
        <f t="shared" si="134"/>
        <v>25000</v>
      </c>
      <c r="P548" s="613">
        <f t="shared" si="134"/>
        <v>1020000</v>
      </c>
      <c r="Q548" s="613">
        <f t="shared" si="134"/>
        <v>960000</v>
      </c>
      <c r="R548" s="613">
        <f t="shared" si="134"/>
        <v>960000</v>
      </c>
      <c r="S548" s="613">
        <f t="shared" si="134"/>
        <v>960000</v>
      </c>
      <c r="T548" s="593">
        <f t="shared" si="134"/>
        <v>960000</v>
      </c>
      <c r="U548" s="711">
        <f t="shared" si="134"/>
        <v>1020000</v>
      </c>
      <c r="V548" s="711">
        <f>U548</f>
        <v>1020000</v>
      </c>
      <c r="W548" s="711">
        <f t="shared" si="134"/>
        <v>512832</v>
      </c>
      <c r="X548" s="711">
        <f>W548</f>
        <v>512832</v>
      </c>
      <c r="Y548" s="711">
        <f t="shared" si="134"/>
        <v>512832</v>
      </c>
      <c r="Z548" s="40">
        <f>Y548</f>
        <v>512832</v>
      </c>
      <c r="AE548" s="452"/>
      <c r="AN548" s="268"/>
      <c r="AO548" s="578"/>
      <c r="AP548" s="578"/>
      <c r="AQ548" s="578"/>
      <c r="AR548" s="578"/>
      <c r="AS548" s="578"/>
      <c r="AT548" s="578"/>
      <c r="AU548" s="578"/>
    </row>
    <row r="549" spans="1:47" ht="38.25" customHeight="1">
      <c r="A549" s="709"/>
      <c r="B549" s="982" t="s">
        <v>692</v>
      </c>
      <c r="C549" s="1003"/>
      <c r="D549" s="1003"/>
      <c r="E549" s="1003"/>
      <c r="F549" s="1003"/>
      <c r="G549" s="1003"/>
      <c r="H549" s="1003"/>
      <c r="I549" s="1002"/>
      <c r="J549" s="593">
        <f>J551+J553+J555+J557+J559+J561+J563</f>
        <v>260452.09</v>
      </c>
      <c r="K549" s="593">
        <f>K551+K553+K555+K557+K559+K561+K563</f>
        <v>489240</v>
      </c>
      <c r="L549" s="628">
        <v>213</v>
      </c>
      <c r="M549" s="629"/>
      <c r="N549" s="710"/>
      <c r="O549" s="613">
        <f t="shared" si="134"/>
        <v>0</v>
      </c>
      <c r="P549" s="613">
        <f t="shared" si="134"/>
        <v>308040</v>
      </c>
      <c r="Q549" s="613">
        <f t="shared" si="134"/>
        <v>289920</v>
      </c>
      <c r="R549" s="613">
        <f t="shared" si="134"/>
        <v>289920</v>
      </c>
      <c r="S549" s="613">
        <f t="shared" si="134"/>
        <v>289920</v>
      </c>
      <c r="T549" s="593">
        <f t="shared" si="134"/>
        <v>289920</v>
      </c>
      <c r="U549" s="711">
        <f t="shared" si="134"/>
        <v>308040</v>
      </c>
      <c r="V549" s="711">
        <f t="shared" ref="V549:V563" si="135">U549</f>
        <v>308040</v>
      </c>
      <c r="W549" s="711">
        <f t="shared" si="134"/>
        <v>154874</v>
      </c>
      <c r="X549" s="711">
        <f t="shared" ref="X549:X563" si="136">W549</f>
        <v>154874</v>
      </c>
      <c r="Y549" s="711">
        <f t="shared" si="134"/>
        <v>154874</v>
      </c>
      <c r="Z549" s="40">
        <f t="shared" ref="Z549:Z563" si="137">Y549</f>
        <v>154874</v>
      </c>
      <c r="AE549" s="452"/>
      <c r="AN549" s="268"/>
      <c r="AO549" s="578"/>
      <c r="AP549" s="578"/>
      <c r="AQ549" s="578"/>
      <c r="AR549" s="578"/>
      <c r="AS549" s="578"/>
      <c r="AT549" s="578"/>
      <c r="AU549" s="578"/>
    </row>
    <row r="550" spans="1:47" ht="23.25" hidden="1" customHeight="1">
      <c r="A550" s="1004" t="s">
        <v>132</v>
      </c>
      <c r="B550" s="1005"/>
      <c r="C550" s="1006"/>
      <c r="D550" s="1006"/>
      <c r="E550" s="1006"/>
      <c r="F550" s="1006"/>
      <c r="G550" s="1006"/>
      <c r="H550" s="1006"/>
      <c r="I550" s="1002"/>
      <c r="J550" s="609">
        <v>0</v>
      </c>
      <c r="K550" s="712">
        <v>810000</v>
      </c>
      <c r="L550" s="713">
        <v>211</v>
      </c>
      <c r="M550" s="988"/>
      <c r="N550" s="505">
        <v>0</v>
      </c>
      <c r="O550" s="630">
        <v>0</v>
      </c>
      <c r="P550" s="630">
        <v>0</v>
      </c>
      <c r="Q550" s="630">
        <v>0</v>
      </c>
      <c r="R550" s="630">
        <v>0</v>
      </c>
      <c r="S550" s="630">
        <v>0</v>
      </c>
      <c r="T550" s="40">
        <v>0</v>
      </c>
      <c r="U550" s="40">
        <v>0</v>
      </c>
      <c r="V550" s="711">
        <f t="shared" si="135"/>
        <v>0</v>
      </c>
      <c r="W550" s="40"/>
      <c r="X550" s="711">
        <f t="shared" si="136"/>
        <v>0</v>
      </c>
      <c r="Y550" s="40">
        <f>W550</f>
        <v>0</v>
      </c>
      <c r="Z550" s="40">
        <f t="shared" si="137"/>
        <v>0</v>
      </c>
      <c r="AE550" s="452"/>
      <c r="AN550" s="268"/>
      <c r="AO550" s="578"/>
      <c r="AP550" s="578"/>
      <c r="AQ550" s="578"/>
      <c r="AR550" s="578"/>
      <c r="AS550" s="578"/>
      <c r="AT550" s="578"/>
      <c r="AU550" s="578"/>
    </row>
    <row r="551" spans="1:47" ht="27" hidden="1">
      <c r="A551" s="1003"/>
      <c r="B551" s="1006"/>
      <c r="C551" s="1006"/>
      <c r="D551" s="1006"/>
      <c r="E551" s="1006"/>
      <c r="F551" s="1006"/>
      <c r="G551" s="1006"/>
      <c r="H551" s="1006"/>
      <c r="I551" s="1002"/>
      <c r="J551" s="609">
        <v>0</v>
      </c>
      <c r="K551" s="712">
        <v>244620</v>
      </c>
      <c r="L551" s="713">
        <v>213</v>
      </c>
      <c r="M551" s="988"/>
      <c r="N551" s="505">
        <v>0</v>
      </c>
      <c r="O551" s="630">
        <v>0</v>
      </c>
      <c r="P551" s="630">
        <v>0</v>
      </c>
      <c r="Q551" s="630">
        <v>0</v>
      </c>
      <c r="R551" s="630">
        <v>0</v>
      </c>
      <c r="S551" s="630">
        <v>0</v>
      </c>
      <c r="T551" s="40">
        <v>0</v>
      </c>
      <c r="U551" s="40">
        <v>0</v>
      </c>
      <c r="V551" s="711">
        <f t="shared" si="135"/>
        <v>0</v>
      </c>
      <c r="W551" s="40"/>
      <c r="X551" s="711">
        <f t="shared" si="136"/>
        <v>0</v>
      </c>
      <c r="Y551" s="40">
        <f t="shared" ref="Y551:Y563" si="138">W551</f>
        <v>0</v>
      </c>
      <c r="Z551" s="40">
        <f t="shared" si="137"/>
        <v>0</v>
      </c>
      <c r="AE551" s="452"/>
      <c r="AN551" s="268"/>
      <c r="AO551" s="578"/>
      <c r="AP551" s="578"/>
      <c r="AQ551" s="578"/>
      <c r="AR551" s="578"/>
      <c r="AS551" s="578"/>
      <c r="AT551" s="578"/>
      <c r="AU551" s="578"/>
    </row>
    <row r="552" spans="1:47" ht="35.25" hidden="1">
      <c r="A552" s="987" t="s">
        <v>167</v>
      </c>
      <c r="B552" s="946"/>
      <c r="C552" s="946"/>
      <c r="D552" s="946"/>
      <c r="E552" s="946"/>
      <c r="F552" s="946"/>
      <c r="G552" s="946"/>
      <c r="H552" s="946"/>
      <c r="I552" s="1002"/>
      <c r="J552" s="714">
        <v>50129.5</v>
      </c>
      <c r="K552" s="715">
        <v>45000</v>
      </c>
      <c r="L552" s="716">
        <v>211</v>
      </c>
      <c r="M552" s="988"/>
      <c r="N552" s="717">
        <v>0</v>
      </c>
      <c r="O552" s="718">
        <v>0</v>
      </c>
      <c r="P552" s="718">
        <v>0</v>
      </c>
      <c r="Q552" s="718">
        <v>0</v>
      </c>
      <c r="R552" s="715">
        <v>0</v>
      </c>
      <c r="S552" s="712">
        <v>0</v>
      </c>
      <c r="T552" s="40">
        <v>0</v>
      </c>
      <c r="U552" s="40">
        <v>0</v>
      </c>
      <c r="V552" s="711">
        <f t="shared" si="135"/>
        <v>0</v>
      </c>
      <c r="W552" s="40"/>
      <c r="X552" s="711">
        <f t="shared" si="136"/>
        <v>0</v>
      </c>
      <c r="Y552" s="40">
        <f t="shared" si="138"/>
        <v>0</v>
      </c>
      <c r="Z552" s="40">
        <f t="shared" si="137"/>
        <v>0</v>
      </c>
      <c r="AE552" s="452"/>
      <c r="AN552" s="268"/>
      <c r="AO552" s="578"/>
      <c r="AP552" s="578"/>
      <c r="AQ552" s="578"/>
      <c r="AR552" s="578"/>
      <c r="AS552" s="578"/>
      <c r="AT552" s="578"/>
      <c r="AU552" s="578"/>
    </row>
    <row r="553" spans="1:47" ht="35.25" hidden="1">
      <c r="A553" s="984"/>
      <c r="B553" s="946"/>
      <c r="C553" s="946"/>
      <c r="D553" s="946"/>
      <c r="E553" s="946"/>
      <c r="F553" s="946"/>
      <c r="G553" s="946"/>
      <c r="H553" s="946"/>
      <c r="I553" s="1002"/>
      <c r="J553" s="714">
        <v>15139.1</v>
      </c>
      <c r="K553" s="715">
        <v>13590</v>
      </c>
      <c r="L553" s="716">
        <v>213</v>
      </c>
      <c r="M553" s="988"/>
      <c r="N553" s="717">
        <v>0</v>
      </c>
      <c r="O553" s="718">
        <v>0</v>
      </c>
      <c r="P553" s="718">
        <v>0</v>
      </c>
      <c r="Q553" s="718">
        <v>0</v>
      </c>
      <c r="R553" s="715">
        <v>0</v>
      </c>
      <c r="S553" s="712">
        <v>0</v>
      </c>
      <c r="T553" s="40">
        <v>0</v>
      </c>
      <c r="U553" s="40">
        <v>0</v>
      </c>
      <c r="V553" s="711">
        <f t="shared" si="135"/>
        <v>0</v>
      </c>
      <c r="W553" s="40"/>
      <c r="X553" s="711">
        <f t="shared" si="136"/>
        <v>0</v>
      </c>
      <c r="Y553" s="40">
        <f t="shared" si="138"/>
        <v>0</v>
      </c>
      <c r="Z553" s="40">
        <f t="shared" si="137"/>
        <v>0</v>
      </c>
      <c r="AE553" s="452"/>
      <c r="AN553" s="268"/>
      <c r="AO553" s="578"/>
      <c r="AP553" s="578"/>
      <c r="AQ553" s="578"/>
      <c r="AR553" s="578"/>
      <c r="AS553" s="578"/>
      <c r="AT553" s="578"/>
      <c r="AU553" s="578"/>
    </row>
    <row r="554" spans="1:47" ht="36" customHeight="1">
      <c r="A554" s="987" t="s">
        <v>169</v>
      </c>
      <c r="B554" s="946"/>
      <c r="C554" s="946"/>
      <c r="D554" s="946"/>
      <c r="E554" s="946"/>
      <c r="F554" s="946"/>
      <c r="G554" s="946"/>
      <c r="H554" s="946"/>
      <c r="I554" s="1002"/>
      <c r="J554" s="714">
        <v>60000</v>
      </c>
      <c r="K554" s="715">
        <v>45000</v>
      </c>
      <c r="L554" s="716">
        <v>211</v>
      </c>
      <c r="M554" s="988"/>
      <c r="N554" s="656">
        <v>1</v>
      </c>
      <c r="O554" s="657">
        <v>5000</v>
      </c>
      <c r="P554" s="673">
        <f>ROUND(N554*O554*12,0)</f>
        <v>60000</v>
      </c>
      <c r="Q554" s="657">
        <v>60000</v>
      </c>
      <c r="R554" s="673">
        <v>60000</v>
      </c>
      <c r="S554" s="670">
        <v>60000</v>
      </c>
      <c r="T554" s="215">
        <v>60000</v>
      </c>
      <c r="U554" s="215">
        <v>60000</v>
      </c>
      <c r="V554" s="719">
        <f t="shared" si="135"/>
        <v>60000</v>
      </c>
      <c r="W554" s="40">
        <v>32052</v>
      </c>
      <c r="X554" s="711">
        <f t="shared" si="136"/>
        <v>32052</v>
      </c>
      <c r="Y554" s="40">
        <f t="shared" si="138"/>
        <v>32052</v>
      </c>
      <c r="Z554" s="40">
        <f t="shared" si="137"/>
        <v>32052</v>
      </c>
      <c r="AE554" s="452"/>
      <c r="AN554" s="268"/>
      <c r="AO554" s="578"/>
      <c r="AP554" s="578"/>
      <c r="AQ554" s="578"/>
      <c r="AR554" s="578"/>
      <c r="AS554" s="578"/>
      <c r="AT554" s="578"/>
      <c r="AU554" s="578"/>
    </row>
    <row r="555" spans="1:47" ht="67.5" customHeight="1">
      <c r="A555" s="984"/>
      <c r="B555" s="946"/>
      <c r="C555" s="946"/>
      <c r="D555" s="946"/>
      <c r="E555" s="946"/>
      <c r="F555" s="946"/>
      <c r="G555" s="946"/>
      <c r="H555" s="946"/>
      <c r="I555" s="1002"/>
      <c r="J555" s="714">
        <v>18120</v>
      </c>
      <c r="K555" s="715">
        <v>13590</v>
      </c>
      <c r="L555" s="716">
        <v>213</v>
      </c>
      <c r="M555" s="988"/>
      <c r="N555" s="650">
        <v>0.30199999999999999</v>
      </c>
      <c r="O555" s="673"/>
      <c r="P555" s="673">
        <f>ROUND(P554*N555,0)</f>
        <v>18120</v>
      </c>
      <c r="Q555" s="673">
        <v>18120</v>
      </c>
      <c r="R555" s="673">
        <v>18120</v>
      </c>
      <c r="S555" s="670">
        <v>18120</v>
      </c>
      <c r="T555" s="215">
        <v>18120</v>
      </c>
      <c r="U555" s="215">
        <v>18120</v>
      </c>
      <c r="V555" s="719">
        <f t="shared" si="135"/>
        <v>18120</v>
      </c>
      <c r="W555" s="40">
        <v>9680</v>
      </c>
      <c r="X555" s="711">
        <f t="shared" si="136"/>
        <v>9680</v>
      </c>
      <c r="Y555" s="40">
        <f t="shared" si="138"/>
        <v>9680</v>
      </c>
      <c r="Z555" s="40">
        <f t="shared" si="137"/>
        <v>9680</v>
      </c>
      <c r="AE555" s="452"/>
      <c r="AN555" s="268"/>
      <c r="AO555" s="578"/>
      <c r="AP555" s="578"/>
      <c r="AQ555" s="578"/>
      <c r="AR555" s="578"/>
      <c r="AS555" s="578"/>
      <c r="AT555" s="578"/>
      <c r="AU555" s="578"/>
    </row>
    <row r="556" spans="1:47" ht="26.25" customHeight="1">
      <c r="A556" s="987" t="s">
        <v>693</v>
      </c>
      <c r="B556" s="946"/>
      <c r="C556" s="946"/>
      <c r="D556" s="946"/>
      <c r="E556" s="946"/>
      <c r="F556" s="946"/>
      <c r="G556" s="946"/>
      <c r="H556" s="946"/>
      <c r="I556" s="1002"/>
      <c r="J556" s="714">
        <v>250000</v>
      </c>
      <c r="K556" s="715">
        <v>180000</v>
      </c>
      <c r="L556" s="716">
        <v>211</v>
      </c>
      <c r="M556" s="988"/>
      <c r="N556" s="672">
        <v>5</v>
      </c>
      <c r="O556" s="673">
        <v>5000</v>
      </c>
      <c r="P556" s="673">
        <f>ROUND(N556*O556*12,0)</f>
        <v>300000</v>
      </c>
      <c r="Q556" s="215">
        <v>300000</v>
      </c>
      <c r="R556" s="673">
        <v>300000</v>
      </c>
      <c r="S556" s="670">
        <v>300000</v>
      </c>
      <c r="T556" s="215">
        <v>300000</v>
      </c>
      <c r="U556" s="215">
        <v>300000</v>
      </c>
      <c r="V556" s="719">
        <f t="shared" si="135"/>
        <v>300000</v>
      </c>
      <c r="W556" s="40">
        <v>160260</v>
      </c>
      <c r="X556" s="711">
        <f t="shared" si="136"/>
        <v>160260</v>
      </c>
      <c r="Y556" s="40">
        <f t="shared" si="138"/>
        <v>160260</v>
      </c>
      <c r="Z556" s="40">
        <f t="shared" si="137"/>
        <v>160260</v>
      </c>
      <c r="AE556" s="452"/>
      <c r="AN556" s="268"/>
      <c r="AO556" s="578"/>
      <c r="AP556" s="578"/>
      <c r="AQ556" s="578"/>
      <c r="AR556" s="578"/>
      <c r="AS556" s="578"/>
      <c r="AT556" s="578"/>
      <c r="AU556" s="578"/>
    </row>
    <row r="557" spans="1:47" ht="62.25" customHeight="1">
      <c r="A557" s="984"/>
      <c r="B557" s="946"/>
      <c r="C557" s="946"/>
      <c r="D557" s="946"/>
      <c r="E557" s="946"/>
      <c r="F557" s="946"/>
      <c r="G557" s="946"/>
      <c r="H557" s="946"/>
      <c r="I557" s="1002"/>
      <c r="J557" s="714">
        <v>75112</v>
      </c>
      <c r="K557" s="715">
        <v>54360</v>
      </c>
      <c r="L557" s="716">
        <v>213</v>
      </c>
      <c r="M557" s="997"/>
      <c r="N557" s="650">
        <v>0.30199999999999999</v>
      </c>
      <c r="O557" s="673"/>
      <c r="P557" s="673">
        <f>ROUND(P556*N557,0)</f>
        <v>90600</v>
      </c>
      <c r="Q557" s="215">
        <v>90600</v>
      </c>
      <c r="R557" s="673">
        <v>90600</v>
      </c>
      <c r="S557" s="670">
        <v>90600</v>
      </c>
      <c r="T557" s="215">
        <v>90600</v>
      </c>
      <c r="U557" s="215">
        <v>90600</v>
      </c>
      <c r="V557" s="719">
        <f t="shared" si="135"/>
        <v>90600</v>
      </c>
      <c r="W557" s="40">
        <v>48398</v>
      </c>
      <c r="X557" s="711">
        <f t="shared" si="136"/>
        <v>48398</v>
      </c>
      <c r="Y557" s="40">
        <f t="shared" si="138"/>
        <v>48398</v>
      </c>
      <c r="Z557" s="40">
        <f t="shared" si="137"/>
        <v>48398</v>
      </c>
      <c r="AE557" s="452"/>
      <c r="AN557" s="268"/>
      <c r="AO557" s="578"/>
      <c r="AP557" s="578"/>
      <c r="AQ557" s="578"/>
      <c r="AR557" s="578"/>
      <c r="AS557" s="578"/>
      <c r="AT557" s="578"/>
      <c r="AU557" s="578"/>
    </row>
    <row r="558" spans="1:47" ht="42" customHeight="1">
      <c r="A558" s="987" t="s">
        <v>694</v>
      </c>
      <c r="B558" s="946"/>
      <c r="C558" s="946"/>
      <c r="D558" s="946"/>
      <c r="E558" s="946"/>
      <c r="F558" s="946"/>
      <c r="G558" s="946"/>
      <c r="H558" s="946"/>
      <c r="I558" s="1002"/>
      <c r="J558" s="711">
        <v>104613.78</v>
      </c>
      <c r="K558" s="715">
        <v>135000</v>
      </c>
      <c r="L558" s="716">
        <v>211</v>
      </c>
      <c r="M558" s="988"/>
      <c r="N558" s="672">
        <v>3</v>
      </c>
      <c r="O558" s="657">
        <v>5000</v>
      </c>
      <c r="P558" s="673">
        <f>ROUND(N558*O558*12,0)</f>
        <v>180000</v>
      </c>
      <c r="Q558" s="657">
        <v>120000</v>
      </c>
      <c r="R558" s="657">
        <v>120000</v>
      </c>
      <c r="S558" s="657">
        <v>120000</v>
      </c>
      <c r="T558" s="215">
        <v>120000</v>
      </c>
      <c r="U558" s="215">
        <v>180000</v>
      </c>
      <c r="V558" s="719">
        <f t="shared" si="135"/>
        <v>180000</v>
      </c>
      <c r="W558" s="40">
        <v>64104</v>
      </c>
      <c r="X558" s="711">
        <f t="shared" si="136"/>
        <v>64104</v>
      </c>
      <c r="Y558" s="40">
        <f t="shared" si="138"/>
        <v>64104</v>
      </c>
      <c r="Z558" s="40">
        <f t="shared" si="137"/>
        <v>64104</v>
      </c>
      <c r="AA558" s="905"/>
      <c r="AE558" s="452"/>
      <c r="AN558" s="268"/>
      <c r="AO558" s="578"/>
      <c r="AP558" s="578"/>
      <c r="AQ558" s="578"/>
      <c r="AR558" s="578"/>
      <c r="AS558" s="578"/>
      <c r="AT558" s="578"/>
      <c r="AU558" s="578"/>
    </row>
    <row r="559" spans="1:47" ht="64.5" customHeight="1">
      <c r="A559" s="984"/>
      <c r="B559" s="946"/>
      <c r="C559" s="946"/>
      <c r="D559" s="946"/>
      <c r="E559" s="946"/>
      <c r="F559" s="946"/>
      <c r="G559" s="946"/>
      <c r="H559" s="946"/>
      <c r="I559" s="1002"/>
      <c r="J559" s="711">
        <v>31593.37</v>
      </c>
      <c r="K559" s="715">
        <v>40770</v>
      </c>
      <c r="L559" s="716">
        <v>213</v>
      </c>
      <c r="M559" s="988"/>
      <c r="N559" s="650">
        <v>0.30199999999999999</v>
      </c>
      <c r="O559" s="657"/>
      <c r="P559" s="673">
        <f>ROUND(P558*N559,0)</f>
        <v>54360</v>
      </c>
      <c r="Q559" s="657">
        <v>36240</v>
      </c>
      <c r="R559" s="657">
        <v>36240</v>
      </c>
      <c r="S559" s="657">
        <v>36240</v>
      </c>
      <c r="T559" s="215">
        <v>36240</v>
      </c>
      <c r="U559" s="215">
        <v>54360</v>
      </c>
      <c r="V559" s="719">
        <f t="shared" si="135"/>
        <v>54360</v>
      </c>
      <c r="W559" s="40">
        <v>19359</v>
      </c>
      <c r="X559" s="711">
        <f t="shared" si="136"/>
        <v>19359</v>
      </c>
      <c r="Y559" s="40">
        <f t="shared" si="138"/>
        <v>19359</v>
      </c>
      <c r="Z559" s="40">
        <f t="shared" si="137"/>
        <v>19359</v>
      </c>
      <c r="AE559" s="452"/>
      <c r="AN559" s="268"/>
      <c r="AO559" s="578"/>
      <c r="AP559" s="578"/>
      <c r="AQ559" s="578"/>
      <c r="AR559" s="578"/>
      <c r="AS559" s="578"/>
      <c r="AT559" s="578"/>
      <c r="AU559" s="578"/>
    </row>
    <row r="560" spans="1:47" ht="38.25" customHeight="1">
      <c r="A560" s="983" t="s">
        <v>695</v>
      </c>
      <c r="B560" s="946"/>
      <c r="C560" s="946"/>
      <c r="D560" s="946"/>
      <c r="E560" s="946"/>
      <c r="F560" s="946"/>
      <c r="G560" s="946"/>
      <c r="H560" s="946"/>
      <c r="I560" s="1002"/>
      <c r="J560" s="714">
        <v>234161</v>
      </c>
      <c r="K560" s="720">
        <v>225000</v>
      </c>
      <c r="L560" s="721">
        <v>211</v>
      </c>
      <c r="M560" s="985"/>
      <c r="N560" s="722">
        <v>5</v>
      </c>
      <c r="O560" s="723">
        <v>5000</v>
      </c>
      <c r="P560" s="673">
        <f>ROUND(N560*O560*12,0)</f>
        <v>300000</v>
      </c>
      <c r="Q560" s="723">
        <v>300000</v>
      </c>
      <c r="R560" s="723">
        <v>300000</v>
      </c>
      <c r="S560" s="723">
        <v>300000</v>
      </c>
      <c r="T560" s="215">
        <v>300000</v>
      </c>
      <c r="U560" s="215">
        <v>300000</v>
      </c>
      <c r="V560" s="719">
        <f t="shared" si="135"/>
        <v>300000</v>
      </c>
      <c r="W560" s="40">
        <v>160260</v>
      </c>
      <c r="X560" s="711">
        <f t="shared" si="136"/>
        <v>160260</v>
      </c>
      <c r="Y560" s="40">
        <f t="shared" si="138"/>
        <v>160260</v>
      </c>
      <c r="Z560" s="40">
        <f t="shared" si="137"/>
        <v>160260</v>
      </c>
      <c r="AE560" s="452"/>
      <c r="AN560" s="268"/>
      <c r="AO560" s="578"/>
      <c r="AP560" s="578"/>
      <c r="AQ560" s="578"/>
      <c r="AR560" s="578"/>
      <c r="AS560" s="578"/>
      <c r="AT560" s="578"/>
      <c r="AU560" s="578"/>
    </row>
    <row r="561" spans="1:47" ht="63" customHeight="1">
      <c r="A561" s="984"/>
      <c r="B561" s="946"/>
      <c r="C561" s="946"/>
      <c r="D561" s="946"/>
      <c r="E561" s="946"/>
      <c r="F561" s="946"/>
      <c r="G561" s="946"/>
      <c r="H561" s="946"/>
      <c r="I561" s="1002"/>
      <c r="J561" s="714">
        <v>70716</v>
      </c>
      <c r="K561" s="720">
        <v>67950</v>
      </c>
      <c r="L561" s="721">
        <v>213</v>
      </c>
      <c r="M561" s="986"/>
      <c r="N561" s="650">
        <v>0.30199999999999999</v>
      </c>
      <c r="O561" s="673"/>
      <c r="P561" s="673">
        <f>ROUND(P560*N561,0)</f>
        <v>90600</v>
      </c>
      <c r="Q561" s="673">
        <v>90600</v>
      </c>
      <c r="R561" s="673">
        <v>90600</v>
      </c>
      <c r="S561" s="673">
        <v>90600</v>
      </c>
      <c r="T561" s="215">
        <v>90600</v>
      </c>
      <c r="U561" s="215">
        <v>90600</v>
      </c>
      <c r="V561" s="719">
        <f t="shared" si="135"/>
        <v>90600</v>
      </c>
      <c r="W561" s="40">
        <v>48398</v>
      </c>
      <c r="X561" s="711">
        <f t="shared" si="136"/>
        <v>48398</v>
      </c>
      <c r="Y561" s="40">
        <f t="shared" si="138"/>
        <v>48398</v>
      </c>
      <c r="Z561" s="40">
        <f t="shared" si="137"/>
        <v>48398</v>
      </c>
      <c r="AE561" s="452"/>
      <c r="AN561" s="268"/>
      <c r="AO561" s="578"/>
      <c r="AP561" s="578"/>
      <c r="AQ561" s="578"/>
      <c r="AR561" s="578"/>
      <c r="AS561" s="578"/>
      <c r="AT561" s="578"/>
      <c r="AU561" s="578"/>
    </row>
    <row r="562" spans="1:47" ht="37.5" customHeight="1">
      <c r="A562" s="987" t="s">
        <v>696</v>
      </c>
      <c r="B562" s="946"/>
      <c r="C562" s="946"/>
      <c r="D562" s="946"/>
      <c r="E562" s="946"/>
      <c r="F562" s="946"/>
      <c r="G562" s="946"/>
      <c r="H562" s="946"/>
      <c r="I562" s="1002"/>
      <c r="J562" s="714">
        <v>164806.70000000001</v>
      </c>
      <c r="K562" s="715">
        <v>180000</v>
      </c>
      <c r="L562" s="716">
        <v>211</v>
      </c>
      <c r="M562" s="988"/>
      <c r="N562" s="672">
        <v>3</v>
      </c>
      <c r="O562" s="673">
        <v>5000</v>
      </c>
      <c r="P562" s="673">
        <f>ROUND(N562*O562*12,0)</f>
        <v>180000</v>
      </c>
      <c r="Q562" s="215">
        <v>180000</v>
      </c>
      <c r="R562" s="673">
        <v>180000</v>
      </c>
      <c r="S562" s="670">
        <v>180000</v>
      </c>
      <c r="T562" s="215">
        <v>180000</v>
      </c>
      <c r="U562" s="215">
        <v>180000</v>
      </c>
      <c r="V562" s="719">
        <f t="shared" si="135"/>
        <v>180000</v>
      </c>
      <c r="W562" s="40">
        <v>96156</v>
      </c>
      <c r="X562" s="711">
        <f t="shared" si="136"/>
        <v>96156</v>
      </c>
      <c r="Y562" s="40">
        <f t="shared" si="138"/>
        <v>96156</v>
      </c>
      <c r="Z562" s="40">
        <f t="shared" si="137"/>
        <v>96156</v>
      </c>
      <c r="AE562" s="452"/>
      <c r="AN562" s="268"/>
      <c r="AO562" s="578"/>
      <c r="AP562" s="578"/>
      <c r="AQ562" s="578"/>
      <c r="AR562" s="578"/>
      <c r="AS562" s="578"/>
      <c r="AT562" s="578"/>
      <c r="AU562" s="578"/>
    </row>
    <row r="563" spans="1:47" ht="59.25" customHeight="1">
      <c r="A563" s="984"/>
      <c r="B563" s="946"/>
      <c r="C563" s="946"/>
      <c r="D563" s="946"/>
      <c r="E563" s="946"/>
      <c r="F563" s="946"/>
      <c r="G563" s="946"/>
      <c r="H563" s="946"/>
      <c r="I563" s="1002"/>
      <c r="J563" s="714">
        <v>49771.62</v>
      </c>
      <c r="K563" s="715">
        <v>54360</v>
      </c>
      <c r="L563" s="716">
        <v>213</v>
      </c>
      <c r="M563" s="988"/>
      <c r="N563" s="650">
        <v>0.30199999999999999</v>
      </c>
      <c r="O563" s="673"/>
      <c r="P563" s="673">
        <f>ROUND(P562*N563,0)</f>
        <v>54360</v>
      </c>
      <c r="Q563" s="215">
        <v>54360</v>
      </c>
      <c r="R563" s="673">
        <v>54360</v>
      </c>
      <c r="S563" s="670">
        <v>54360</v>
      </c>
      <c r="T563" s="215">
        <v>54360</v>
      </c>
      <c r="U563" s="215">
        <v>54360</v>
      </c>
      <c r="V563" s="719">
        <f t="shared" si="135"/>
        <v>54360</v>
      </c>
      <c r="W563" s="40">
        <v>29039</v>
      </c>
      <c r="X563" s="711">
        <f t="shared" si="136"/>
        <v>29039</v>
      </c>
      <c r="Y563" s="40">
        <f t="shared" si="138"/>
        <v>29039</v>
      </c>
      <c r="Z563" s="40">
        <f t="shared" si="137"/>
        <v>29039</v>
      </c>
      <c r="AE563" s="452"/>
      <c r="AN563" s="268"/>
      <c r="AO563" s="578"/>
      <c r="AP563" s="578"/>
      <c r="AQ563" s="578"/>
      <c r="AR563" s="578"/>
      <c r="AS563" s="578"/>
      <c r="AT563" s="578"/>
      <c r="AU563" s="578"/>
    </row>
    <row r="564" spans="1:47" ht="69" customHeight="1">
      <c r="A564" s="724" t="s">
        <v>200</v>
      </c>
      <c r="B564" s="989"/>
      <c r="C564" s="990"/>
      <c r="D564" s="990"/>
      <c r="E564" s="990"/>
      <c r="F564" s="990"/>
      <c r="G564" s="990"/>
      <c r="H564" s="990"/>
      <c r="I564" s="991" t="s">
        <v>697</v>
      </c>
      <c r="J564" s="725" t="e">
        <f>#REF!+J568+J569+J570+#REF!+J574+J566+J567</f>
        <v>#REF!</v>
      </c>
      <c r="K564" s="725" t="e">
        <f>#REF!+K568+K569+K570+#REF!+K574</f>
        <v>#REF!</v>
      </c>
      <c r="L564" s="994" t="s">
        <v>698</v>
      </c>
      <c r="M564" s="726"/>
      <c r="N564" s="727">
        <f>N565+N569+N571+N575+N576+N577+N578+N579+N580+N581</f>
        <v>19</v>
      </c>
      <c r="O564" s="728"/>
      <c r="P564" s="728" t="e">
        <f>#REF!+#REF!+P569</f>
        <v>#REF!</v>
      </c>
      <c r="Q564" s="728" t="e">
        <f>#REF!+#REF!+Q569</f>
        <v>#REF!</v>
      </c>
      <c r="R564" s="728" t="e">
        <f>#REF!+#REF!+R569</f>
        <v>#REF!</v>
      </c>
      <c r="S564" s="728" t="e">
        <f>#REF!+#REF!+S569</f>
        <v>#REF!</v>
      </c>
      <c r="T564" s="728" t="e">
        <f>#REF!+#REF!+T569</f>
        <v>#REF!</v>
      </c>
      <c r="U564" s="729">
        <f t="shared" ref="U564:Z564" si="139">U565+U569+U571+U575+U576+U577+U578+U579+U580+U581</f>
        <v>752682.45</v>
      </c>
      <c r="V564" s="729">
        <f t="shared" si="139"/>
        <v>752682.45</v>
      </c>
      <c r="W564" s="729">
        <f t="shared" si="139"/>
        <v>171400.76</v>
      </c>
      <c r="X564" s="729">
        <f t="shared" si="139"/>
        <v>171400.76</v>
      </c>
      <c r="Y564" s="729">
        <f t="shared" si="139"/>
        <v>171400.76</v>
      </c>
      <c r="Z564" s="729">
        <f t="shared" si="139"/>
        <v>171400.76</v>
      </c>
      <c r="AE564" s="452"/>
      <c r="AN564" s="268"/>
      <c r="AO564" s="578"/>
      <c r="AP564" s="578"/>
      <c r="AQ564" s="578"/>
      <c r="AR564" s="578"/>
      <c r="AS564" s="578"/>
      <c r="AT564" s="578"/>
      <c r="AU564" s="578"/>
    </row>
    <row r="565" spans="1:47" ht="47.25" customHeight="1">
      <c r="A565" s="34" t="s">
        <v>174</v>
      </c>
      <c r="B565" s="990"/>
      <c r="C565" s="990"/>
      <c r="D565" s="990"/>
      <c r="E565" s="990"/>
      <c r="F565" s="990"/>
      <c r="G565" s="990"/>
      <c r="H565" s="990"/>
      <c r="I565" s="992"/>
      <c r="J565" s="665"/>
      <c r="K565" s="730"/>
      <c r="L565" s="946"/>
      <c r="M565" s="731"/>
      <c r="N565" s="732">
        <v>1</v>
      </c>
      <c r="O565" s="669">
        <v>5000</v>
      </c>
      <c r="P565" s="669">
        <f>ROUND(N565*O565*8,0)</f>
        <v>40000</v>
      </c>
      <c r="Q565" s="659">
        <v>40000</v>
      </c>
      <c r="R565" s="669"/>
      <c r="S565" s="669"/>
      <c r="T565" s="659">
        <v>40000</v>
      </c>
      <c r="U565" s="215">
        <v>40000</v>
      </c>
      <c r="V565" s="215">
        <f>U565</f>
        <v>40000</v>
      </c>
      <c r="W565" s="40">
        <v>85472</v>
      </c>
      <c r="X565" s="40">
        <f>W565</f>
        <v>85472</v>
      </c>
      <c r="Y565" s="40">
        <f>W565</f>
        <v>85472</v>
      </c>
      <c r="Z565" s="40">
        <f>Y565</f>
        <v>85472</v>
      </c>
      <c r="AA565" s="905"/>
      <c r="AE565" s="452"/>
      <c r="AN565" s="268"/>
      <c r="AO565" s="578"/>
      <c r="AP565" s="578"/>
      <c r="AQ565" s="578"/>
      <c r="AR565" s="578"/>
      <c r="AS565" s="578"/>
      <c r="AT565" s="578"/>
      <c r="AU565" s="578"/>
    </row>
    <row r="566" spans="1:47" ht="101.25" hidden="1" customHeight="1">
      <c r="A566" s="695" t="s">
        <v>699</v>
      </c>
      <c r="B566" s="990"/>
      <c r="C566" s="990"/>
      <c r="D566" s="990"/>
      <c r="E566" s="990"/>
      <c r="F566" s="990"/>
      <c r="G566" s="990"/>
      <c r="H566" s="990"/>
      <c r="I566" s="992"/>
      <c r="J566" s="665">
        <v>20000</v>
      </c>
      <c r="K566" s="730"/>
      <c r="L566" s="946"/>
      <c r="M566" s="731"/>
      <c r="N566" s="733"/>
      <c r="O566" s="609"/>
      <c r="P566" s="609"/>
      <c r="Q566" s="120"/>
      <c r="R566" s="609"/>
      <c r="S566" s="609"/>
      <c r="T566" s="120"/>
      <c r="U566" s="39"/>
      <c r="V566" s="39">
        <f t="shared" ref="V566:V571" si="140">U566</f>
        <v>0</v>
      </c>
      <c r="W566" s="40"/>
      <c r="X566" s="40">
        <f t="shared" ref="X566:X571" si="141">W566</f>
        <v>0</v>
      </c>
      <c r="Y566" s="40">
        <f t="shared" ref="Y566:Y574" si="142">W566</f>
        <v>0</v>
      </c>
      <c r="Z566" s="40">
        <f t="shared" ref="Z566:Z571" si="143">Y566</f>
        <v>0</v>
      </c>
      <c r="AE566" s="452"/>
      <c r="AN566" s="268"/>
      <c r="AO566" s="578"/>
      <c r="AP566" s="578"/>
      <c r="AQ566" s="578"/>
      <c r="AR566" s="578"/>
      <c r="AS566" s="578"/>
      <c r="AT566" s="578"/>
      <c r="AU566" s="578"/>
    </row>
    <row r="567" spans="1:47" ht="101.25" hidden="1" customHeight="1">
      <c r="A567" s="695" t="s">
        <v>700</v>
      </c>
      <c r="B567" s="990"/>
      <c r="C567" s="990"/>
      <c r="D567" s="990"/>
      <c r="E567" s="990"/>
      <c r="F567" s="990"/>
      <c r="G567" s="990"/>
      <c r="H567" s="990"/>
      <c r="I567" s="992"/>
      <c r="J567" s="665">
        <v>45000</v>
      </c>
      <c r="K567" s="730"/>
      <c r="L567" s="946"/>
      <c r="M567" s="731"/>
      <c r="N567" s="733"/>
      <c r="O567" s="609"/>
      <c r="P567" s="609"/>
      <c r="Q567" s="120"/>
      <c r="R567" s="609"/>
      <c r="S567" s="609"/>
      <c r="T567" s="120"/>
      <c r="U567" s="39"/>
      <c r="V567" s="39">
        <f t="shared" si="140"/>
        <v>0</v>
      </c>
      <c r="W567" s="40"/>
      <c r="X567" s="40">
        <f t="shared" si="141"/>
        <v>0</v>
      </c>
      <c r="Y567" s="40">
        <f t="shared" si="142"/>
        <v>0</v>
      </c>
      <c r="Z567" s="40">
        <f t="shared" si="143"/>
        <v>0</v>
      </c>
      <c r="AE567" s="452"/>
      <c r="AN567" s="268"/>
      <c r="AO567" s="578"/>
      <c r="AP567" s="578"/>
      <c r="AQ567" s="578"/>
      <c r="AR567" s="578"/>
      <c r="AS567" s="578"/>
      <c r="AT567" s="578"/>
      <c r="AU567" s="578"/>
    </row>
    <row r="568" spans="1:47" ht="101.25" hidden="1" customHeight="1">
      <c r="A568" s="695" t="s">
        <v>701</v>
      </c>
      <c r="B568" s="990"/>
      <c r="C568" s="990"/>
      <c r="D568" s="990"/>
      <c r="E568" s="990"/>
      <c r="F568" s="990"/>
      <c r="G568" s="990"/>
      <c r="H568" s="990"/>
      <c r="I568" s="992"/>
      <c r="J568" s="734">
        <v>0</v>
      </c>
      <c r="K568" s="735">
        <v>40000</v>
      </c>
      <c r="L568" s="946"/>
      <c r="M568" s="736"/>
      <c r="N568" s="733">
        <v>0</v>
      </c>
      <c r="O568" s="609">
        <v>0</v>
      </c>
      <c r="P568" s="609">
        <v>0</v>
      </c>
      <c r="Q568" s="609">
        <v>0</v>
      </c>
      <c r="R568" s="609">
        <v>0</v>
      </c>
      <c r="S568" s="609">
        <v>0</v>
      </c>
      <c r="T568" s="609">
        <v>0</v>
      </c>
      <c r="U568" s="83">
        <v>0</v>
      </c>
      <c r="V568" s="39">
        <f t="shared" si="140"/>
        <v>0</v>
      </c>
      <c r="W568" s="40"/>
      <c r="X568" s="40">
        <f t="shared" si="141"/>
        <v>0</v>
      </c>
      <c r="Y568" s="40">
        <f t="shared" si="142"/>
        <v>0</v>
      </c>
      <c r="Z568" s="40">
        <f t="shared" si="143"/>
        <v>0</v>
      </c>
      <c r="AE568" s="452"/>
      <c r="AN568" s="268"/>
      <c r="AO568" s="578"/>
      <c r="AP568" s="578"/>
      <c r="AQ568" s="578"/>
      <c r="AR568" s="578"/>
      <c r="AS568" s="578"/>
      <c r="AT568" s="578"/>
      <c r="AU568" s="578"/>
    </row>
    <row r="569" spans="1:47" ht="97.5" customHeight="1">
      <c r="A569" s="695" t="s">
        <v>702</v>
      </c>
      <c r="B569" s="990"/>
      <c r="C569" s="990"/>
      <c r="D569" s="990"/>
      <c r="E569" s="990"/>
      <c r="F569" s="990"/>
      <c r="G569" s="990"/>
      <c r="H569" s="990"/>
      <c r="I569" s="992"/>
      <c r="J569" s="665">
        <v>60000</v>
      </c>
      <c r="K569" s="735">
        <v>80000</v>
      </c>
      <c r="L569" s="946"/>
      <c r="M569" s="731"/>
      <c r="N569" s="732">
        <v>2</v>
      </c>
      <c r="O569" s="669">
        <v>5000</v>
      </c>
      <c r="P569" s="669">
        <v>60000</v>
      </c>
      <c r="Q569" s="669">
        <v>60000</v>
      </c>
      <c r="R569" s="669">
        <v>60000</v>
      </c>
      <c r="S569" s="669">
        <v>60000</v>
      </c>
      <c r="T569" s="669">
        <v>60000</v>
      </c>
      <c r="U569" s="670">
        <v>90000</v>
      </c>
      <c r="V569" s="215">
        <f t="shared" si="140"/>
        <v>90000</v>
      </c>
      <c r="W569" s="40">
        <v>32052</v>
      </c>
      <c r="X569" s="40">
        <f t="shared" si="141"/>
        <v>32052</v>
      </c>
      <c r="Y569" s="40">
        <f t="shared" si="142"/>
        <v>32052</v>
      </c>
      <c r="Z569" s="40">
        <f t="shared" si="143"/>
        <v>32052</v>
      </c>
      <c r="AE569" s="452"/>
      <c r="AN569" s="268"/>
      <c r="AO569" s="578"/>
      <c r="AP569" s="578"/>
      <c r="AQ569" s="578"/>
      <c r="AR569" s="578"/>
      <c r="AS569" s="578"/>
      <c r="AT569" s="578"/>
      <c r="AU569" s="578"/>
    </row>
    <row r="570" spans="1:47" ht="101.25" hidden="1" customHeight="1">
      <c r="A570" s="34" t="s">
        <v>703</v>
      </c>
      <c r="B570" s="990"/>
      <c r="C570" s="990"/>
      <c r="D570" s="990"/>
      <c r="E570" s="990"/>
      <c r="F570" s="990"/>
      <c r="G570" s="990"/>
      <c r="H570" s="990"/>
      <c r="I570" s="992"/>
      <c r="J570" s="609">
        <v>40000</v>
      </c>
      <c r="K570" s="609">
        <v>40000</v>
      </c>
      <c r="L570" s="946"/>
      <c r="M570" s="736">
        <v>0</v>
      </c>
      <c r="N570" s="733">
        <v>0</v>
      </c>
      <c r="O570" s="609">
        <v>0</v>
      </c>
      <c r="P570" s="609">
        <v>0</v>
      </c>
      <c r="Q570" s="609">
        <v>0</v>
      </c>
      <c r="R570" s="609">
        <v>0</v>
      </c>
      <c r="S570" s="609">
        <v>0</v>
      </c>
      <c r="T570" s="609">
        <v>0</v>
      </c>
      <c r="U570" s="83">
        <v>0</v>
      </c>
      <c r="V570" s="39">
        <f t="shared" si="140"/>
        <v>0</v>
      </c>
      <c r="W570" s="737"/>
      <c r="X570" s="40">
        <f t="shared" si="141"/>
        <v>0</v>
      </c>
      <c r="Y570" s="40">
        <f t="shared" si="142"/>
        <v>0</v>
      </c>
      <c r="Z570" s="40">
        <f t="shared" si="143"/>
        <v>0</v>
      </c>
      <c r="AE570" s="452"/>
      <c r="AN570" s="268"/>
      <c r="AO570" s="578"/>
      <c r="AP570" s="578"/>
      <c r="AQ570" s="578"/>
      <c r="AR570" s="578"/>
      <c r="AS570" s="578"/>
      <c r="AT570" s="578"/>
      <c r="AU570" s="578"/>
    </row>
    <row r="571" spans="1:47" ht="99" customHeight="1">
      <c r="A571" s="34" t="s">
        <v>548</v>
      </c>
      <c r="B571" s="990"/>
      <c r="C571" s="990"/>
      <c r="D571" s="990"/>
      <c r="E571" s="990"/>
      <c r="F571" s="990"/>
      <c r="G571" s="990"/>
      <c r="H571" s="990"/>
      <c r="I571" s="992"/>
      <c r="J571" s="995"/>
      <c r="K571" s="996"/>
      <c r="L571" s="946"/>
      <c r="M571" s="731"/>
      <c r="N571" s="732">
        <v>6</v>
      </c>
      <c r="O571" s="669">
        <v>5000</v>
      </c>
      <c r="P571" s="669">
        <f>ROUND(N571*O571*4,0)</f>
        <v>120000</v>
      </c>
      <c r="Q571" s="669">
        <v>80000</v>
      </c>
      <c r="R571" s="669"/>
      <c r="S571" s="669"/>
      <c r="T571" s="669">
        <v>80000</v>
      </c>
      <c r="U571" s="670">
        <v>250323</v>
      </c>
      <c r="V571" s="215">
        <f t="shared" si="140"/>
        <v>250323</v>
      </c>
      <c r="W571" s="40">
        <v>53876.76</v>
      </c>
      <c r="X571" s="40">
        <f t="shared" si="141"/>
        <v>53876.76</v>
      </c>
      <c r="Y571" s="40">
        <f t="shared" si="142"/>
        <v>53876.76</v>
      </c>
      <c r="Z571" s="40">
        <f t="shared" si="143"/>
        <v>53876.76</v>
      </c>
      <c r="AE571" s="452"/>
      <c r="AN571" s="268"/>
      <c r="AO571" s="578"/>
      <c r="AP571" s="578"/>
      <c r="AQ571" s="578"/>
      <c r="AR571" s="578"/>
      <c r="AS571" s="578"/>
      <c r="AT571" s="578"/>
      <c r="AU571" s="578"/>
    </row>
    <row r="572" spans="1:47" ht="101.25" hidden="1" customHeight="1">
      <c r="A572" s="34"/>
      <c r="B572" s="990"/>
      <c r="C572" s="990"/>
      <c r="D572" s="990"/>
      <c r="E572" s="990"/>
      <c r="F572" s="990"/>
      <c r="G572" s="990"/>
      <c r="H572" s="990"/>
      <c r="I572" s="992"/>
      <c r="J572" s="995"/>
      <c r="K572" s="996"/>
      <c r="L572" s="946"/>
      <c r="M572" s="731" t="s">
        <v>704</v>
      </c>
      <c r="N572" s="733">
        <v>4.3</v>
      </c>
      <c r="O572" s="609">
        <v>5000</v>
      </c>
      <c r="P572" s="609"/>
      <c r="Q572" s="609"/>
      <c r="R572" s="609">
        <f>ROUND(N572*O572*12,0)</f>
        <v>258000</v>
      </c>
      <c r="S572" s="609"/>
      <c r="T572" s="609"/>
      <c r="U572" s="83"/>
      <c r="V572" s="83"/>
      <c r="W572" s="40"/>
      <c r="X572" s="40"/>
      <c r="Y572" s="40">
        <f t="shared" si="142"/>
        <v>0</v>
      </c>
      <c r="Z572" s="40"/>
      <c r="AE572" s="452"/>
      <c r="AN572" s="268"/>
      <c r="AO572" s="578"/>
      <c r="AP572" s="578"/>
      <c r="AQ572" s="578"/>
      <c r="AR572" s="578"/>
      <c r="AS572" s="578"/>
      <c r="AT572" s="578"/>
      <c r="AU572" s="578"/>
    </row>
    <row r="573" spans="1:47" ht="101.25" hidden="1" customHeight="1">
      <c r="A573" s="34"/>
      <c r="B573" s="990"/>
      <c r="C573" s="990"/>
      <c r="D573" s="990"/>
      <c r="E573" s="990"/>
      <c r="F573" s="990"/>
      <c r="G573" s="990"/>
      <c r="H573" s="990"/>
      <c r="I573" s="992"/>
      <c r="J573" s="995"/>
      <c r="K573" s="996"/>
      <c r="L573" s="946"/>
      <c r="M573" s="731" t="s">
        <v>705</v>
      </c>
      <c r="N573" s="733">
        <v>3.3</v>
      </c>
      <c r="O573" s="609">
        <v>5000</v>
      </c>
      <c r="P573" s="609"/>
      <c r="Q573" s="609"/>
      <c r="R573" s="609"/>
      <c r="S573" s="609">
        <f>ROUND(N573*O573*12,0)</f>
        <v>198000</v>
      </c>
      <c r="T573" s="609"/>
      <c r="U573" s="83"/>
      <c r="V573" s="83"/>
      <c r="W573" s="40"/>
      <c r="X573" s="40"/>
      <c r="Y573" s="40">
        <f t="shared" si="142"/>
        <v>0</v>
      </c>
      <c r="Z573" s="40"/>
      <c r="AE573" s="452"/>
      <c r="AN573" s="268"/>
      <c r="AO573" s="578"/>
      <c r="AP573" s="578"/>
      <c r="AQ573" s="578"/>
      <c r="AR573" s="578"/>
      <c r="AS573" s="578"/>
      <c r="AT573" s="578"/>
      <c r="AU573" s="578"/>
    </row>
    <row r="574" spans="1:47" ht="81" hidden="1" customHeight="1">
      <c r="A574" s="738" t="s">
        <v>132</v>
      </c>
      <c r="B574" s="990"/>
      <c r="C574" s="990"/>
      <c r="D574" s="990"/>
      <c r="E574" s="990"/>
      <c r="F574" s="990"/>
      <c r="G574" s="990"/>
      <c r="H574" s="990"/>
      <c r="I574" s="992"/>
      <c r="J574" s="734"/>
      <c r="K574" s="718">
        <v>360000</v>
      </c>
      <c r="L574" s="946"/>
      <c r="M574" s="607"/>
      <c r="N574" s="597"/>
      <c r="O574" s="598"/>
      <c r="P574" s="598"/>
      <c r="Q574" s="119"/>
      <c r="R574" s="609"/>
      <c r="S574" s="609"/>
      <c r="T574" s="120"/>
      <c r="U574" s="39"/>
      <c r="V574" s="39"/>
      <c r="W574" s="40"/>
      <c r="X574" s="40"/>
      <c r="Y574" s="40">
        <f t="shared" si="142"/>
        <v>0</v>
      </c>
      <c r="Z574" s="40"/>
      <c r="AE574" s="452"/>
      <c r="AN574" s="268"/>
      <c r="AO574" s="578"/>
      <c r="AP574" s="578"/>
      <c r="AQ574" s="578"/>
      <c r="AR574" s="578"/>
      <c r="AS574" s="578"/>
      <c r="AT574" s="578"/>
      <c r="AU574" s="578"/>
    </row>
    <row r="575" spans="1:47" ht="51" customHeight="1">
      <c r="A575" s="738" t="s">
        <v>193</v>
      </c>
      <c r="B575" s="141"/>
      <c r="C575" s="141"/>
      <c r="D575" s="141"/>
      <c r="E575" s="141"/>
      <c r="F575" s="141"/>
      <c r="G575" s="141"/>
      <c r="H575" s="141"/>
      <c r="I575" s="992"/>
      <c r="J575" s="734"/>
      <c r="K575" s="718"/>
      <c r="L575" s="234"/>
      <c r="M575" s="607"/>
      <c r="N575" s="739">
        <v>1</v>
      </c>
      <c r="O575" s="658"/>
      <c r="P575" s="658"/>
      <c r="Q575" s="740"/>
      <c r="R575" s="669"/>
      <c r="S575" s="669"/>
      <c r="T575" s="659"/>
      <c r="U575" s="215">
        <f>22686.14+8120.31</f>
        <v>30806.45</v>
      </c>
      <c r="V575" s="215">
        <f>22686.14+8120.31</f>
        <v>30806.45</v>
      </c>
      <c r="W575" s="40">
        <v>0</v>
      </c>
      <c r="X575" s="40">
        <v>0</v>
      </c>
      <c r="Y575" s="40">
        <v>0</v>
      </c>
      <c r="Z575" s="40">
        <v>0</v>
      </c>
      <c r="AE575" s="452"/>
      <c r="AN575" s="268"/>
      <c r="AO575" s="578"/>
      <c r="AP575" s="578"/>
      <c r="AQ575" s="578"/>
      <c r="AR575" s="578"/>
      <c r="AS575" s="578"/>
      <c r="AT575" s="578"/>
      <c r="AU575" s="578"/>
    </row>
    <row r="576" spans="1:47" ht="66.75" customHeight="1">
      <c r="A576" s="738" t="s">
        <v>172</v>
      </c>
      <c r="B576" s="141"/>
      <c r="C576" s="141"/>
      <c r="D576" s="141"/>
      <c r="E576" s="141"/>
      <c r="F576" s="141"/>
      <c r="G576" s="141"/>
      <c r="H576" s="141"/>
      <c r="I576" s="993"/>
      <c r="J576" s="734"/>
      <c r="K576" s="718"/>
      <c r="L576" s="234"/>
      <c r="M576" s="607"/>
      <c r="N576" s="739">
        <v>2</v>
      </c>
      <c r="O576" s="658"/>
      <c r="P576" s="658"/>
      <c r="Q576" s="740"/>
      <c r="R576" s="669"/>
      <c r="S576" s="669"/>
      <c r="T576" s="659"/>
      <c r="U576" s="215">
        <v>50000</v>
      </c>
      <c r="V576" s="215">
        <f>U576</f>
        <v>50000</v>
      </c>
      <c r="W576" s="40">
        <v>0</v>
      </c>
      <c r="X576" s="40">
        <v>0</v>
      </c>
      <c r="Y576" s="40">
        <v>0</v>
      </c>
      <c r="Z576" s="40">
        <v>0</v>
      </c>
      <c r="AE576" s="452"/>
      <c r="AN576" s="268"/>
      <c r="AO576" s="578"/>
      <c r="AP576" s="578"/>
      <c r="AQ576" s="578"/>
      <c r="AR576" s="578"/>
      <c r="AS576" s="578"/>
      <c r="AT576" s="578"/>
      <c r="AU576" s="578"/>
    </row>
    <row r="577" spans="1:47" ht="66.75" customHeight="1">
      <c r="A577" s="738" t="s">
        <v>164</v>
      </c>
      <c r="B577" s="141"/>
      <c r="C577" s="141"/>
      <c r="D577" s="141"/>
      <c r="E577" s="141"/>
      <c r="F577" s="141"/>
      <c r="G577" s="141"/>
      <c r="H577" s="141"/>
      <c r="I577" s="741"/>
      <c r="J577" s="734"/>
      <c r="K577" s="718"/>
      <c r="L577" s="234"/>
      <c r="M577" s="607"/>
      <c r="N577" s="739">
        <v>1</v>
      </c>
      <c r="O577" s="658"/>
      <c r="P577" s="658"/>
      <c r="Q577" s="740"/>
      <c r="R577" s="669"/>
      <c r="S577" s="669"/>
      <c r="T577" s="659"/>
      <c r="U577" s="215">
        <v>42833</v>
      </c>
      <c r="V577" s="215">
        <f>U577</f>
        <v>42833</v>
      </c>
      <c r="W577" s="40">
        <v>0</v>
      </c>
      <c r="X577" s="40">
        <v>0</v>
      </c>
      <c r="Y577" s="40">
        <v>0</v>
      </c>
      <c r="Z577" s="40">
        <v>0</v>
      </c>
      <c r="AA577" s="905"/>
      <c r="AE577" s="452"/>
      <c r="AN577" s="268"/>
      <c r="AO577" s="578"/>
      <c r="AP577" s="578"/>
      <c r="AQ577" s="578"/>
      <c r="AR577" s="578"/>
      <c r="AS577" s="578"/>
      <c r="AT577" s="578"/>
      <c r="AU577" s="578"/>
    </row>
    <row r="578" spans="1:47" ht="66.75" customHeight="1">
      <c r="A578" s="738" t="s">
        <v>161</v>
      </c>
      <c r="B578" s="141"/>
      <c r="C578" s="141"/>
      <c r="D578" s="141"/>
      <c r="E578" s="141"/>
      <c r="F578" s="141"/>
      <c r="G578" s="141"/>
      <c r="H578" s="141"/>
      <c r="I578" s="741"/>
      <c r="J578" s="734"/>
      <c r="K578" s="718"/>
      <c r="L578" s="234"/>
      <c r="M578" s="596"/>
      <c r="N578" s="739">
        <v>2</v>
      </c>
      <c r="O578" s="658"/>
      <c r="P578" s="658"/>
      <c r="Q578" s="740"/>
      <c r="R578" s="669"/>
      <c r="S578" s="669"/>
      <c r="T578" s="659"/>
      <c r="U578" s="215">
        <v>69220</v>
      </c>
      <c r="V578" s="215">
        <v>69220</v>
      </c>
      <c r="W578" s="40">
        <v>0</v>
      </c>
      <c r="X578" s="40">
        <v>0</v>
      </c>
      <c r="Y578" s="40">
        <v>0</v>
      </c>
      <c r="Z578" s="40">
        <v>0</v>
      </c>
      <c r="AA578" s="905"/>
      <c r="AE578" s="452"/>
      <c r="AN578" s="268"/>
      <c r="AO578" s="578"/>
      <c r="AP578" s="578"/>
      <c r="AQ578" s="578"/>
      <c r="AR578" s="578"/>
      <c r="AS578" s="578"/>
      <c r="AT578" s="578"/>
      <c r="AU578" s="578"/>
    </row>
    <row r="579" spans="1:47" ht="66.75" customHeight="1">
      <c r="A579" s="738" t="s">
        <v>470</v>
      </c>
      <c r="B579" s="141"/>
      <c r="C579" s="141"/>
      <c r="D579" s="141"/>
      <c r="E579" s="141"/>
      <c r="F579" s="141"/>
      <c r="G579" s="141"/>
      <c r="H579" s="141"/>
      <c r="I579" s="741"/>
      <c r="J579" s="734"/>
      <c r="K579" s="718"/>
      <c r="L579" s="234"/>
      <c r="M579" s="596"/>
      <c r="N579" s="739">
        <v>2</v>
      </c>
      <c r="O579" s="658"/>
      <c r="P579" s="658"/>
      <c r="Q579" s="740"/>
      <c r="R579" s="669"/>
      <c r="S579" s="669"/>
      <c r="T579" s="659"/>
      <c r="U579" s="215">
        <v>105000</v>
      </c>
      <c r="V579" s="215">
        <v>105000</v>
      </c>
      <c r="W579" s="40">
        <v>0</v>
      </c>
      <c r="X579" s="40">
        <v>0</v>
      </c>
      <c r="Y579" s="40">
        <v>0</v>
      </c>
      <c r="Z579" s="40">
        <v>0</v>
      </c>
      <c r="AE579" s="452"/>
      <c r="AN579" s="268"/>
      <c r="AO579" s="578"/>
      <c r="AP579" s="578"/>
      <c r="AQ579" s="578"/>
      <c r="AR579" s="578"/>
      <c r="AS579" s="578"/>
      <c r="AT579" s="578"/>
      <c r="AU579" s="578"/>
    </row>
    <row r="580" spans="1:47" ht="66.75" customHeight="1">
      <c r="A580" s="738" t="s">
        <v>160</v>
      </c>
      <c r="B580" s="141"/>
      <c r="C580" s="141"/>
      <c r="D580" s="141"/>
      <c r="E580" s="141"/>
      <c r="F580" s="141"/>
      <c r="G580" s="141"/>
      <c r="H580" s="141"/>
      <c r="I580" s="741"/>
      <c r="J580" s="734"/>
      <c r="K580" s="718"/>
      <c r="L580" s="234"/>
      <c r="M580" s="596"/>
      <c r="N580" s="739">
        <v>1</v>
      </c>
      <c r="O580" s="658"/>
      <c r="P580" s="658"/>
      <c r="Q580" s="740"/>
      <c r="R580" s="669"/>
      <c r="S580" s="669"/>
      <c r="T580" s="659"/>
      <c r="U580" s="215">
        <v>40000</v>
      </c>
      <c r="V580" s="215">
        <v>40000</v>
      </c>
      <c r="W580" s="40">
        <v>0</v>
      </c>
      <c r="X580" s="40">
        <v>0</v>
      </c>
      <c r="Y580" s="40">
        <v>0</v>
      </c>
      <c r="Z580" s="40">
        <v>0</v>
      </c>
      <c r="AE580" s="452"/>
      <c r="AN580" s="268"/>
      <c r="AO580" s="578"/>
      <c r="AP580" s="578"/>
      <c r="AQ580" s="578"/>
      <c r="AR580" s="578"/>
      <c r="AS580" s="578"/>
      <c r="AT580" s="578"/>
      <c r="AU580" s="578"/>
    </row>
    <row r="581" spans="1:47" ht="66.75" customHeight="1">
      <c r="A581" s="738" t="s">
        <v>157</v>
      </c>
      <c r="B581" s="141"/>
      <c r="C581" s="141"/>
      <c r="D581" s="141"/>
      <c r="E581" s="141"/>
      <c r="F581" s="141"/>
      <c r="G581" s="141"/>
      <c r="H581" s="141"/>
      <c r="I581" s="741"/>
      <c r="J581" s="734"/>
      <c r="K581" s="718"/>
      <c r="L581" s="234"/>
      <c r="M581" s="596"/>
      <c r="N581" s="739">
        <v>1</v>
      </c>
      <c r="O581" s="658"/>
      <c r="P581" s="658"/>
      <c r="Q581" s="740"/>
      <c r="R581" s="669"/>
      <c r="S581" s="669"/>
      <c r="T581" s="659"/>
      <c r="U581" s="215">
        <v>34500</v>
      </c>
      <c r="V581" s="215">
        <v>34500</v>
      </c>
      <c r="W581" s="40">
        <v>0</v>
      </c>
      <c r="X581" s="40">
        <v>0</v>
      </c>
      <c r="Y581" s="40">
        <v>0</v>
      </c>
      <c r="Z581" s="40">
        <v>0</v>
      </c>
      <c r="AE581" s="452"/>
      <c r="AN581" s="268"/>
      <c r="AO581" s="578"/>
      <c r="AP581" s="578"/>
      <c r="AQ581" s="578"/>
      <c r="AR581" s="578"/>
      <c r="AS581" s="578"/>
      <c r="AT581" s="578"/>
      <c r="AU581" s="578"/>
    </row>
    <row r="582" spans="1:47" ht="231" customHeight="1">
      <c r="A582" s="408" t="s">
        <v>542</v>
      </c>
      <c r="B582" s="588" t="s">
        <v>22</v>
      </c>
      <c r="C582" s="588" t="s">
        <v>23</v>
      </c>
      <c r="D582" s="588" t="s">
        <v>706</v>
      </c>
      <c r="E582" s="588" t="s">
        <v>25</v>
      </c>
      <c r="F582" s="588" t="s">
        <v>544</v>
      </c>
      <c r="G582" s="588" t="s">
        <v>545</v>
      </c>
      <c r="H582" s="588" t="s">
        <v>28</v>
      </c>
      <c r="I582" s="190" t="s">
        <v>707</v>
      </c>
      <c r="J582" s="580">
        <f>SUM(J583:J608)</f>
        <v>17599923.920000002</v>
      </c>
      <c r="K582" s="580">
        <f>SUM(K583:K608)</f>
        <v>14668707.75</v>
      </c>
      <c r="L582" s="742"/>
      <c r="M582" s="743"/>
      <c r="N582" s="744">
        <f t="shared" ref="N582:S582" si="144">SUM(N583:N608)</f>
        <v>2083</v>
      </c>
      <c r="O582" s="580"/>
      <c r="P582" s="580">
        <f t="shared" si="144"/>
        <v>20074894</v>
      </c>
      <c r="Q582" s="580">
        <f t="shared" si="144"/>
        <v>20074894</v>
      </c>
      <c r="R582" s="580">
        <f>SUM(R583:R608)</f>
        <v>20074894</v>
      </c>
      <c r="S582" s="580">
        <f t="shared" si="144"/>
        <v>20074894</v>
      </c>
      <c r="T582" s="580">
        <f t="shared" ref="T582:Z582" si="145">SUM(T583:T608)</f>
        <v>6691631</v>
      </c>
      <c r="U582" s="232">
        <f t="shared" si="145"/>
        <v>14936166.059999999</v>
      </c>
      <c r="V582" s="232">
        <f t="shared" si="145"/>
        <v>14936166.059999999</v>
      </c>
      <c r="W582" s="232">
        <f t="shared" si="145"/>
        <v>0</v>
      </c>
      <c r="X582" s="232">
        <f t="shared" si="145"/>
        <v>0</v>
      </c>
      <c r="Y582" s="232">
        <f t="shared" si="145"/>
        <v>0</v>
      </c>
      <c r="Z582" s="232">
        <f t="shared" si="145"/>
        <v>0</v>
      </c>
      <c r="AE582" s="452"/>
      <c r="AN582" s="268"/>
      <c r="AO582" s="578"/>
      <c r="AP582" s="578"/>
      <c r="AQ582" s="578"/>
      <c r="AR582" s="578"/>
      <c r="AS582" s="578"/>
      <c r="AT582" s="578"/>
      <c r="AU582" s="578"/>
    </row>
    <row r="583" spans="1:47" ht="39" customHeight="1">
      <c r="A583" s="745" t="s">
        <v>708</v>
      </c>
      <c r="B583" s="977"/>
      <c r="C583" s="977"/>
      <c r="D583" s="977"/>
      <c r="E583" s="977"/>
      <c r="F583" s="977"/>
      <c r="G583" s="977"/>
      <c r="H583" s="977"/>
      <c r="I583" s="981" t="s">
        <v>709</v>
      </c>
      <c r="J583" s="711">
        <f>1316129+3</f>
        <v>1316132</v>
      </c>
      <c r="K583" s="83">
        <v>1122883</v>
      </c>
      <c r="L583" s="442">
        <v>212</v>
      </c>
      <c r="M583" s="746"/>
      <c r="N583" s="747">
        <v>180</v>
      </c>
      <c r="O583" s="83">
        <v>738.58</v>
      </c>
      <c r="P583" s="83">
        <v>1595340</v>
      </c>
      <c r="Q583" s="83">
        <v>1595340</v>
      </c>
      <c r="R583" s="83">
        <v>1595340</v>
      </c>
      <c r="S583" s="83">
        <v>1595340</v>
      </c>
      <c r="T583" s="39">
        <v>531780</v>
      </c>
      <c r="U583" s="39">
        <v>1196525</v>
      </c>
      <c r="V583" s="39">
        <f>U583</f>
        <v>1196525</v>
      </c>
      <c r="W583" s="39">
        <v>0</v>
      </c>
      <c r="X583" s="39">
        <f>W583</f>
        <v>0</v>
      </c>
      <c r="Y583" s="39">
        <v>0</v>
      </c>
      <c r="Z583" s="40">
        <f>Y583</f>
        <v>0</v>
      </c>
      <c r="AE583" s="452"/>
      <c r="AN583" s="268"/>
      <c r="AO583" s="578"/>
      <c r="AP583" s="578"/>
      <c r="AQ583" s="578"/>
      <c r="AR583" s="578"/>
      <c r="AS583" s="578"/>
      <c r="AT583" s="578"/>
      <c r="AU583" s="578"/>
    </row>
    <row r="584" spans="1:47" ht="109.5" customHeight="1">
      <c r="A584" s="748" t="s">
        <v>710</v>
      </c>
      <c r="B584" s="977"/>
      <c r="C584" s="977"/>
      <c r="D584" s="977"/>
      <c r="E584" s="977"/>
      <c r="F584" s="977"/>
      <c r="G584" s="977"/>
      <c r="H584" s="977"/>
      <c r="I584" s="982"/>
      <c r="J584" s="711">
        <v>58259.93</v>
      </c>
      <c r="K584" s="83">
        <v>41641</v>
      </c>
      <c r="L584" s="749">
        <v>212</v>
      </c>
      <c r="M584" s="499"/>
      <c r="N584" s="747">
        <v>6</v>
      </c>
      <c r="O584" s="83">
        <v>771.03</v>
      </c>
      <c r="P584" s="83">
        <v>55515</v>
      </c>
      <c r="Q584" s="83">
        <v>55515</v>
      </c>
      <c r="R584" s="83">
        <v>55515</v>
      </c>
      <c r="S584" s="83">
        <v>55515</v>
      </c>
      <c r="T584" s="39">
        <v>18505</v>
      </c>
      <c r="U584" s="39">
        <v>47757</v>
      </c>
      <c r="V584" s="39">
        <f t="shared" ref="V584:V608" si="146">U584</f>
        <v>47757</v>
      </c>
      <c r="W584" s="39">
        <v>0</v>
      </c>
      <c r="X584" s="39">
        <f t="shared" ref="X584:X608" si="147">W584</f>
        <v>0</v>
      </c>
      <c r="Y584" s="39">
        <v>0</v>
      </c>
      <c r="Z584" s="40">
        <f t="shared" ref="Z584:Z608" si="148">Y584</f>
        <v>0</v>
      </c>
      <c r="AE584" s="452"/>
      <c r="AN584" s="268"/>
      <c r="AO584" s="578"/>
      <c r="AP584" s="578"/>
      <c r="AQ584" s="578"/>
      <c r="AR584" s="578"/>
      <c r="AS584" s="578"/>
      <c r="AT584" s="578"/>
      <c r="AU584" s="578"/>
    </row>
    <row r="585" spans="1:47" ht="47.25" customHeight="1">
      <c r="A585" s="748" t="s">
        <v>156</v>
      </c>
      <c r="B585" s="977"/>
      <c r="C585" s="977"/>
      <c r="D585" s="977"/>
      <c r="E585" s="977"/>
      <c r="F585" s="977"/>
      <c r="G585" s="977"/>
      <c r="H585" s="977"/>
      <c r="I585" s="982"/>
      <c r="J585" s="711">
        <v>171200</v>
      </c>
      <c r="K585" s="83">
        <v>132707</v>
      </c>
      <c r="L585" s="442">
        <v>212</v>
      </c>
      <c r="M585" s="746"/>
      <c r="N585" s="750">
        <v>20</v>
      </c>
      <c r="O585" s="451">
        <v>754.2</v>
      </c>
      <c r="P585" s="451">
        <v>181020</v>
      </c>
      <c r="Q585" s="451">
        <v>181020</v>
      </c>
      <c r="R585" s="451">
        <v>181020</v>
      </c>
      <c r="S585" s="451">
        <v>181020</v>
      </c>
      <c r="T585" s="39">
        <v>60340</v>
      </c>
      <c r="U585" s="39">
        <v>139317</v>
      </c>
      <c r="V585" s="39">
        <f t="shared" si="146"/>
        <v>139317</v>
      </c>
      <c r="W585" s="39">
        <v>0</v>
      </c>
      <c r="X585" s="39">
        <f t="shared" si="147"/>
        <v>0</v>
      </c>
      <c r="Y585" s="39">
        <v>0</v>
      </c>
      <c r="Z585" s="40">
        <f t="shared" si="148"/>
        <v>0</v>
      </c>
      <c r="AE585" s="452"/>
      <c r="AN585" s="268"/>
      <c r="AO585" s="578"/>
      <c r="AP585" s="578"/>
      <c r="AQ585" s="578"/>
      <c r="AR585" s="578"/>
      <c r="AS585" s="578"/>
      <c r="AT585" s="578"/>
      <c r="AU585" s="578"/>
    </row>
    <row r="586" spans="1:47" ht="48.75" customHeight="1">
      <c r="A586" s="748" t="s">
        <v>157</v>
      </c>
      <c r="B586" s="977"/>
      <c r="C586" s="977"/>
      <c r="D586" s="977"/>
      <c r="E586" s="977"/>
      <c r="F586" s="977"/>
      <c r="G586" s="977"/>
      <c r="H586" s="977"/>
      <c r="I586" s="982"/>
      <c r="J586" s="711">
        <v>1313303.76</v>
      </c>
      <c r="K586" s="83">
        <v>1180000</v>
      </c>
      <c r="L586" s="442">
        <v>212</v>
      </c>
      <c r="M586" s="751"/>
      <c r="N586" s="747">
        <v>175</v>
      </c>
      <c r="O586" s="83">
        <v>866</v>
      </c>
      <c r="P586" s="83">
        <v>1818606</v>
      </c>
      <c r="Q586" s="83">
        <v>1818606</v>
      </c>
      <c r="R586" s="83">
        <v>1818606</v>
      </c>
      <c r="S586" s="83">
        <v>1818606</v>
      </c>
      <c r="T586" s="39">
        <v>606202</v>
      </c>
      <c r="U586" s="39">
        <v>1241652</v>
      </c>
      <c r="V586" s="39">
        <f t="shared" si="146"/>
        <v>1241652</v>
      </c>
      <c r="W586" s="39">
        <v>0</v>
      </c>
      <c r="X586" s="39">
        <f t="shared" si="147"/>
        <v>0</v>
      </c>
      <c r="Y586" s="39">
        <v>0</v>
      </c>
      <c r="Z586" s="40">
        <f t="shared" si="148"/>
        <v>0</v>
      </c>
      <c r="AE586" s="452"/>
      <c r="AN586" s="268"/>
      <c r="AO586" s="578"/>
      <c r="AP586" s="578"/>
      <c r="AQ586" s="578"/>
      <c r="AR586" s="578"/>
      <c r="AS586" s="578"/>
      <c r="AT586" s="578"/>
      <c r="AU586" s="578"/>
    </row>
    <row r="587" spans="1:47" ht="66" customHeight="1">
      <c r="A587" s="748" t="s">
        <v>711</v>
      </c>
      <c r="B587" s="977"/>
      <c r="C587" s="977"/>
      <c r="D587" s="977"/>
      <c r="E587" s="977"/>
      <c r="F587" s="977"/>
      <c r="G587" s="977"/>
      <c r="H587" s="977"/>
      <c r="I587" s="982"/>
      <c r="J587" s="86">
        <v>980686</v>
      </c>
      <c r="K587" s="83">
        <v>776225</v>
      </c>
      <c r="L587" s="442">
        <v>212</v>
      </c>
      <c r="M587" s="746"/>
      <c r="N587" s="747">
        <v>112</v>
      </c>
      <c r="O587" s="83">
        <v>788.9</v>
      </c>
      <c r="P587" s="83">
        <v>1060282</v>
      </c>
      <c r="Q587" s="83">
        <v>1060282</v>
      </c>
      <c r="R587" s="83">
        <v>1060282</v>
      </c>
      <c r="S587" s="83">
        <v>1060282</v>
      </c>
      <c r="T587" s="39">
        <v>353427</v>
      </c>
      <c r="U587" s="39">
        <v>805519</v>
      </c>
      <c r="V587" s="39">
        <f t="shared" si="146"/>
        <v>805519</v>
      </c>
      <c r="W587" s="39">
        <v>0</v>
      </c>
      <c r="X587" s="39">
        <f t="shared" si="147"/>
        <v>0</v>
      </c>
      <c r="Y587" s="39">
        <v>0</v>
      </c>
      <c r="Z587" s="40">
        <f t="shared" si="148"/>
        <v>0</v>
      </c>
      <c r="AE587" s="452"/>
      <c r="AN587" s="268"/>
      <c r="AO587" s="578"/>
      <c r="AP587" s="578"/>
      <c r="AQ587" s="578"/>
      <c r="AR587" s="578"/>
      <c r="AS587" s="578"/>
      <c r="AT587" s="578"/>
      <c r="AU587" s="578"/>
    </row>
    <row r="588" spans="1:47" ht="53.25" customHeight="1">
      <c r="A588" s="748" t="s">
        <v>159</v>
      </c>
      <c r="B588" s="977"/>
      <c r="C588" s="977"/>
      <c r="D588" s="977"/>
      <c r="E588" s="977"/>
      <c r="F588" s="977"/>
      <c r="G588" s="977"/>
      <c r="H588" s="977"/>
      <c r="I588" s="982"/>
      <c r="J588" s="711">
        <v>159726</v>
      </c>
      <c r="K588" s="83">
        <v>119344</v>
      </c>
      <c r="L588" s="442">
        <v>212</v>
      </c>
      <c r="M588" s="499"/>
      <c r="N588" s="747">
        <v>16</v>
      </c>
      <c r="O588" s="83">
        <v>754.25</v>
      </c>
      <c r="P588" s="83">
        <v>144816</v>
      </c>
      <c r="Q588" s="83">
        <v>144816</v>
      </c>
      <c r="R588" s="83">
        <v>144816</v>
      </c>
      <c r="S588" s="83">
        <v>144816</v>
      </c>
      <c r="T588" s="39">
        <v>48272</v>
      </c>
      <c r="U588" s="39">
        <v>97274</v>
      </c>
      <c r="V588" s="39">
        <f t="shared" si="146"/>
        <v>97274</v>
      </c>
      <c r="W588" s="39">
        <v>0</v>
      </c>
      <c r="X588" s="39">
        <f t="shared" si="147"/>
        <v>0</v>
      </c>
      <c r="Y588" s="39">
        <v>0</v>
      </c>
      <c r="Z588" s="40">
        <f t="shared" si="148"/>
        <v>0</v>
      </c>
      <c r="AE588" s="452"/>
      <c r="AN588" s="268"/>
      <c r="AO588" s="578"/>
      <c r="AP588" s="578"/>
      <c r="AQ588" s="578"/>
      <c r="AR588" s="578"/>
      <c r="AS588" s="578"/>
      <c r="AT588" s="578"/>
      <c r="AU588" s="578"/>
    </row>
    <row r="589" spans="1:47" ht="45.75" customHeight="1">
      <c r="A589" s="748" t="s">
        <v>712</v>
      </c>
      <c r="B589" s="977"/>
      <c r="C589" s="977"/>
      <c r="D589" s="977"/>
      <c r="E589" s="977"/>
      <c r="F589" s="977"/>
      <c r="G589" s="977"/>
      <c r="H589" s="977"/>
      <c r="I589" s="982"/>
      <c r="J589" s="711">
        <v>780040</v>
      </c>
      <c r="K589" s="83">
        <v>587132</v>
      </c>
      <c r="L589" s="442">
        <v>212</v>
      </c>
      <c r="M589" s="746"/>
      <c r="N589" s="747">
        <v>98</v>
      </c>
      <c r="O589" s="83">
        <v>750.32</v>
      </c>
      <c r="P589" s="83">
        <v>882374</v>
      </c>
      <c r="Q589" s="83">
        <v>882374</v>
      </c>
      <c r="R589" s="83">
        <v>882374</v>
      </c>
      <c r="S589" s="83">
        <v>882374</v>
      </c>
      <c r="T589" s="39">
        <v>294125</v>
      </c>
      <c r="U589" s="39">
        <v>683096</v>
      </c>
      <c r="V589" s="39">
        <f t="shared" si="146"/>
        <v>683096</v>
      </c>
      <c r="W589" s="39">
        <v>0</v>
      </c>
      <c r="X589" s="39">
        <f t="shared" si="147"/>
        <v>0</v>
      </c>
      <c r="Y589" s="39">
        <v>0</v>
      </c>
      <c r="Z589" s="40">
        <f t="shared" si="148"/>
        <v>0</v>
      </c>
      <c r="AE589" s="452"/>
      <c r="AN589" s="268"/>
      <c r="AO589" s="578"/>
      <c r="AP589" s="578"/>
      <c r="AQ589" s="578"/>
      <c r="AR589" s="578"/>
      <c r="AS589" s="578"/>
      <c r="AT589" s="578"/>
      <c r="AU589" s="578"/>
    </row>
    <row r="590" spans="1:47" ht="60.75">
      <c r="A590" s="748" t="s">
        <v>161</v>
      </c>
      <c r="B590" s="977"/>
      <c r="C590" s="977"/>
      <c r="D590" s="977"/>
      <c r="E590" s="977"/>
      <c r="F590" s="977"/>
      <c r="G590" s="977"/>
      <c r="H590" s="977"/>
      <c r="I590" s="982"/>
      <c r="J590" s="83">
        <v>1102464.98</v>
      </c>
      <c r="K590" s="83">
        <v>927051</v>
      </c>
      <c r="L590" s="442">
        <v>212</v>
      </c>
      <c r="M590" s="746"/>
      <c r="N590" s="747">
        <v>134</v>
      </c>
      <c r="O590" s="83">
        <v>780.85</v>
      </c>
      <c r="P590" s="39">
        <v>1255608</v>
      </c>
      <c r="Q590" s="39">
        <v>1255608</v>
      </c>
      <c r="R590" s="39">
        <v>1255608</v>
      </c>
      <c r="S590" s="39">
        <v>1255608</v>
      </c>
      <c r="T590" s="39">
        <v>418536</v>
      </c>
      <c r="U590" s="39">
        <v>957714</v>
      </c>
      <c r="V590" s="39">
        <f t="shared" si="146"/>
        <v>957714</v>
      </c>
      <c r="W590" s="39">
        <v>0</v>
      </c>
      <c r="X590" s="39">
        <f t="shared" si="147"/>
        <v>0</v>
      </c>
      <c r="Y590" s="39">
        <v>0</v>
      </c>
      <c r="Z590" s="40">
        <f t="shared" si="148"/>
        <v>0</v>
      </c>
      <c r="AE590" s="452"/>
      <c r="AN590" s="268"/>
      <c r="AO590" s="578"/>
      <c r="AP590" s="578"/>
      <c r="AQ590" s="578"/>
      <c r="AR590" s="578"/>
      <c r="AS590" s="578"/>
      <c r="AT590" s="578"/>
      <c r="AU590" s="578"/>
    </row>
    <row r="591" spans="1:47" ht="43.5" customHeight="1">
      <c r="A591" s="748" t="s">
        <v>162</v>
      </c>
      <c r="B591" s="977"/>
      <c r="C591" s="977"/>
      <c r="D591" s="977"/>
      <c r="E591" s="977"/>
      <c r="F591" s="977"/>
      <c r="G591" s="977"/>
      <c r="H591" s="977"/>
      <c r="I591" s="982"/>
      <c r="J591" s="711">
        <v>325540</v>
      </c>
      <c r="K591" s="293">
        <v>251168</v>
      </c>
      <c r="L591" s="398">
        <v>212</v>
      </c>
      <c r="M591" s="499"/>
      <c r="N591" s="752">
        <v>41</v>
      </c>
      <c r="O591" s="83">
        <v>676.03</v>
      </c>
      <c r="P591" s="39">
        <v>332608</v>
      </c>
      <c r="Q591" s="39">
        <v>332608</v>
      </c>
      <c r="R591" s="39">
        <v>332608</v>
      </c>
      <c r="S591" s="39">
        <v>332608</v>
      </c>
      <c r="T591" s="39">
        <v>110870</v>
      </c>
      <c r="U591" s="39">
        <v>256618</v>
      </c>
      <c r="V591" s="39">
        <f t="shared" si="146"/>
        <v>256618</v>
      </c>
      <c r="W591" s="39">
        <v>0</v>
      </c>
      <c r="X591" s="39">
        <f t="shared" si="147"/>
        <v>0</v>
      </c>
      <c r="Y591" s="39">
        <v>0</v>
      </c>
      <c r="Z591" s="40">
        <f t="shared" si="148"/>
        <v>0</v>
      </c>
      <c r="AE591" s="452"/>
      <c r="AN591" s="268"/>
      <c r="AO591" s="578"/>
      <c r="AP591" s="578"/>
      <c r="AQ591" s="578"/>
      <c r="AR591" s="578"/>
      <c r="AS591" s="578"/>
      <c r="AT591" s="578"/>
      <c r="AU591" s="578"/>
    </row>
    <row r="592" spans="1:47" ht="66" customHeight="1">
      <c r="A592" s="695" t="s">
        <v>713</v>
      </c>
      <c r="B592" s="977"/>
      <c r="C592" s="977"/>
      <c r="D592" s="977"/>
      <c r="E592" s="977"/>
      <c r="F592" s="977"/>
      <c r="G592" s="977"/>
      <c r="H592" s="977"/>
      <c r="I592" s="982"/>
      <c r="J592" s="711">
        <v>1103097</v>
      </c>
      <c r="K592" s="83">
        <v>833177</v>
      </c>
      <c r="L592" s="753">
        <v>212</v>
      </c>
      <c r="M592" s="746"/>
      <c r="N592" s="747">
        <v>124</v>
      </c>
      <c r="O592" s="83">
        <v>790.17</v>
      </c>
      <c r="P592" s="83">
        <v>1175767</v>
      </c>
      <c r="Q592" s="83">
        <v>1175767</v>
      </c>
      <c r="R592" s="83">
        <v>1175767</v>
      </c>
      <c r="S592" s="83">
        <v>1175767</v>
      </c>
      <c r="T592" s="39">
        <v>391922</v>
      </c>
      <c r="U592" s="39">
        <v>814934</v>
      </c>
      <c r="V592" s="39">
        <f t="shared" si="146"/>
        <v>814934</v>
      </c>
      <c r="W592" s="39">
        <v>0</v>
      </c>
      <c r="X592" s="39">
        <f t="shared" si="147"/>
        <v>0</v>
      </c>
      <c r="Y592" s="39">
        <v>0</v>
      </c>
      <c r="Z592" s="40">
        <f t="shared" si="148"/>
        <v>0</v>
      </c>
      <c r="AE592" s="452"/>
      <c r="AN592" s="268"/>
      <c r="AO592" s="578"/>
      <c r="AP592" s="578"/>
      <c r="AQ592" s="578"/>
      <c r="AR592" s="578"/>
      <c r="AS592" s="578"/>
      <c r="AT592" s="578"/>
      <c r="AU592" s="578"/>
    </row>
    <row r="593" spans="1:47" ht="69" customHeight="1">
      <c r="A593" s="748" t="s">
        <v>164</v>
      </c>
      <c r="B593" s="977"/>
      <c r="C593" s="977"/>
      <c r="D593" s="977"/>
      <c r="E593" s="977"/>
      <c r="F593" s="977"/>
      <c r="G593" s="977"/>
      <c r="H593" s="977"/>
      <c r="I593" s="982"/>
      <c r="J593" s="754">
        <v>93467</v>
      </c>
      <c r="K593" s="293">
        <v>79624</v>
      </c>
      <c r="L593" s="755">
        <v>212</v>
      </c>
      <c r="M593" s="401"/>
      <c r="N593" s="752">
        <v>13</v>
      </c>
      <c r="O593" s="293">
        <v>754.25</v>
      </c>
      <c r="P593" s="83">
        <v>117663</v>
      </c>
      <c r="Q593" s="83">
        <v>117663</v>
      </c>
      <c r="R593" s="83">
        <v>117663</v>
      </c>
      <c r="S593" s="83">
        <v>117663</v>
      </c>
      <c r="T593" s="39">
        <v>39221</v>
      </c>
      <c r="U593" s="39">
        <v>79194.06</v>
      </c>
      <c r="V593" s="39">
        <f t="shared" si="146"/>
        <v>79194.06</v>
      </c>
      <c r="W593" s="39">
        <v>0</v>
      </c>
      <c r="X593" s="39">
        <f t="shared" si="147"/>
        <v>0</v>
      </c>
      <c r="Y593" s="39">
        <v>0</v>
      </c>
      <c r="Z593" s="40">
        <f t="shared" si="148"/>
        <v>0</v>
      </c>
      <c r="AE593" s="452"/>
      <c r="AN593" s="268"/>
      <c r="AO593" s="578"/>
      <c r="AP593" s="578"/>
      <c r="AQ593" s="578"/>
      <c r="AR593" s="578"/>
      <c r="AS593" s="578"/>
      <c r="AT593" s="578"/>
      <c r="AU593" s="578"/>
    </row>
    <row r="594" spans="1:47" ht="78" customHeight="1">
      <c r="A594" s="748" t="s">
        <v>165</v>
      </c>
      <c r="B594" s="977"/>
      <c r="C594" s="977"/>
      <c r="D594" s="977"/>
      <c r="E594" s="977"/>
      <c r="F594" s="977"/>
      <c r="G594" s="977"/>
      <c r="H594" s="977"/>
      <c r="I594" s="982"/>
      <c r="J594" s="711">
        <v>430500</v>
      </c>
      <c r="K594" s="83">
        <v>384852</v>
      </c>
      <c r="L594" s="442">
        <v>212</v>
      </c>
      <c r="M594" s="746"/>
      <c r="N594" s="747">
        <v>56</v>
      </c>
      <c r="O594" s="83">
        <v>754.28</v>
      </c>
      <c r="P594" s="83">
        <v>506875</v>
      </c>
      <c r="Q594" s="83">
        <v>506875</v>
      </c>
      <c r="R594" s="83">
        <v>506875</v>
      </c>
      <c r="S594" s="83">
        <v>506875</v>
      </c>
      <c r="T594" s="39">
        <v>168958</v>
      </c>
      <c r="U594" s="39">
        <v>390093</v>
      </c>
      <c r="V594" s="39">
        <f t="shared" si="146"/>
        <v>390093</v>
      </c>
      <c r="W594" s="39">
        <v>0</v>
      </c>
      <c r="X594" s="39">
        <f t="shared" si="147"/>
        <v>0</v>
      </c>
      <c r="Y594" s="39">
        <v>0</v>
      </c>
      <c r="Z594" s="40">
        <f t="shared" si="148"/>
        <v>0</v>
      </c>
      <c r="AE594" s="452"/>
      <c r="AN594" s="268"/>
      <c r="AO594" s="578"/>
      <c r="AP594" s="578"/>
      <c r="AQ594" s="578"/>
      <c r="AR594" s="578"/>
      <c r="AS594" s="578"/>
      <c r="AT594" s="578"/>
      <c r="AU594" s="578"/>
    </row>
    <row r="595" spans="1:47" ht="55.5" customHeight="1">
      <c r="A595" s="748" t="s">
        <v>166</v>
      </c>
      <c r="B595" s="977"/>
      <c r="C595" s="977"/>
      <c r="D595" s="977"/>
      <c r="E595" s="977"/>
      <c r="F595" s="977"/>
      <c r="G595" s="977"/>
      <c r="H595" s="977"/>
      <c r="I595" s="982"/>
      <c r="J595" s="711">
        <v>2087270</v>
      </c>
      <c r="K595" s="83">
        <v>1654511</v>
      </c>
      <c r="L595" s="442">
        <v>212</v>
      </c>
      <c r="M595" s="499"/>
      <c r="N595" s="747">
        <v>192</v>
      </c>
      <c r="O595" s="83">
        <v>981.14</v>
      </c>
      <c r="P595" s="83">
        <v>2260537</v>
      </c>
      <c r="Q595" s="83">
        <v>2260537</v>
      </c>
      <c r="R595" s="83">
        <v>2260537</v>
      </c>
      <c r="S595" s="83">
        <v>2260537</v>
      </c>
      <c r="T595" s="39">
        <v>753512</v>
      </c>
      <c r="U595" s="39">
        <v>1735881</v>
      </c>
      <c r="V595" s="39">
        <f t="shared" si="146"/>
        <v>1735881</v>
      </c>
      <c r="W595" s="39">
        <v>0</v>
      </c>
      <c r="X595" s="39">
        <f t="shared" si="147"/>
        <v>0</v>
      </c>
      <c r="Y595" s="39">
        <v>0</v>
      </c>
      <c r="Z595" s="40">
        <f t="shared" si="148"/>
        <v>0</v>
      </c>
      <c r="AE595" s="452"/>
      <c r="AN595" s="268"/>
      <c r="AO595" s="578"/>
      <c r="AP595" s="578"/>
      <c r="AQ595" s="578"/>
      <c r="AR595" s="578"/>
      <c r="AS595" s="578"/>
      <c r="AT595" s="578"/>
      <c r="AU595" s="578"/>
    </row>
    <row r="596" spans="1:47" ht="68.25" customHeight="1">
      <c r="A596" s="748" t="s">
        <v>168</v>
      </c>
      <c r="B596" s="977"/>
      <c r="C596" s="977"/>
      <c r="D596" s="977"/>
      <c r="E596" s="977"/>
      <c r="F596" s="977"/>
      <c r="G596" s="977"/>
      <c r="H596" s="977"/>
      <c r="I596" s="982"/>
      <c r="J596" s="711">
        <v>84697.06</v>
      </c>
      <c r="K596" s="83">
        <v>72989</v>
      </c>
      <c r="L596" s="442">
        <v>212</v>
      </c>
      <c r="M596" s="746"/>
      <c r="N596" s="747">
        <v>10</v>
      </c>
      <c r="O596" s="83">
        <v>754.25</v>
      </c>
      <c r="P596" s="83">
        <v>90511</v>
      </c>
      <c r="Q596" s="83">
        <v>90511</v>
      </c>
      <c r="R596" s="83">
        <v>90511</v>
      </c>
      <c r="S596" s="83">
        <v>90511</v>
      </c>
      <c r="T596" s="39">
        <v>30170</v>
      </c>
      <c r="U596" s="39">
        <v>69659</v>
      </c>
      <c r="V596" s="39">
        <f t="shared" si="146"/>
        <v>69659</v>
      </c>
      <c r="W596" s="39">
        <v>0</v>
      </c>
      <c r="X596" s="39">
        <f t="shared" si="147"/>
        <v>0</v>
      </c>
      <c r="Y596" s="39">
        <v>0</v>
      </c>
      <c r="Z596" s="40">
        <f t="shared" si="148"/>
        <v>0</v>
      </c>
      <c r="AE596" s="452"/>
      <c r="AN596" s="268"/>
      <c r="AO596" s="578"/>
      <c r="AP596" s="578"/>
      <c r="AQ596" s="578"/>
      <c r="AR596" s="578"/>
      <c r="AS596" s="578"/>
      <c r="AT596" s="578"/>
      <c r="AU596" s="578"/>
    </row>
    <row r="597" spans="1:47" ht="87.75" customHeight="1">
      <c r="A597" s="748" t="s">
        <v>171</v>
      </c>
      <c r="B597" s="977"/>
      <c r="C597" s="977"/>
      <c r="D597" s="977"/>
      <c r="E597" s="977"/>
      <c r="F597" s="977"/>
      <c r="G597" s="977"/>
      <c r="H597" s="977"/>
      <c r="I597" s="982"/>
      <c r="J597" s="711">
        <v>90810</v>
      </c>
      <c r="K597" s="83">
        <v>72989</v>
      </c>
      <c r="L597" s="442">
        <v>212</v>
      </c>
      <c r="M597" s="746"/>
      <c r="N597" s="747">
        <v>6</v>
      </c>
      <c r="O597" s="83">
        <v>754.28</v>
      </c>
      <c r="P597" s="83">
        <v>54307</v>
      </c>
      <c r="Q597" s="83">
        <v>54307</v>
      </c>
      <c r="R597" s="83">
        <v>54307</v>
      </c>
      <c r="S597" s="83">
        <v>54307</v>
      </c>
      <c r="T597" s="39">
        <v>18102</v>
      </c>
      <c r="U597" s="39">
        <v>40593</v>
      </c>
      <c r="V597" s="39">
        <f t="shared" si="146"/>
        <v>40593</v>
      </c>
      <c r="W597" s="39">
        <v>0</v>
      </c>
      <c r="X597" s="39">
        <f t="shared" si="147"/>
        <v>0</v>
      </c>
      <c r="Y597" s="39">
        <v>0</v>
      </c>
      <c r="Z597" s="40">
        <f t="shared" si="148"/>
        <v>0</v>
      </c>
      <c r="AE597" s="452"/>
      <c r="AN597" s="268"/>
      <c r="AO597" s="578"/>
      <c r="AP597" s="578"/>
      <c r="AQ597" s="578"/>
      <c r="AR597" s="578"/>
      <c r="AS597" s="578"/>
      <c r="AT597" s="578"/>
      <c r="AU597" s="578"/>
    </row>
    <row r="598" spans="1:47" ht="59.25" customHeight="1">
      <c r="A598" s="748" t="s">
        <v>174</v>
      </c>
      <c r="B598" s="977"/>
      <c r="C598" s="977"/>
      <c r="D598" s="977"/>
      <c r="E598" s="977"/>
      <c r="F598" s="977"/>
      <c r="G598" s="977"/>
      <c r="H598" s="977"/>
      <c r="I598" s="982"/>
      <c r="J598" s="711">
        <v>952134.33</v>
      </c>
      <c r="K598" s="83">
        <v>782818.75</v>
      </c>
      <c r="L598" s="442">
        <v>212</v>
      </c>
      <c r="M598" s="746"/>
      <c r="N598" s="747">
        <v>96</v>
      </c>
      <c r="O598" s="83">
        <v>924.32</v>
      </c>
      <c r="P598" s="83">
        <v>1064819</v>
      </c>
      <c r="Q598" s="83">
        <v>1064819</v>
      </c>
      <c r="R598" s="83">
        <v>1064819</v>
      </c>
      <c r="S598" s="83">
        <v>1064819</v>
      </c>
      <c r="T598" s="39">
        <v>354940</v>
      </c>
      <c r="U598" s="39">
        <v>798605</v>
      </c>
      <c r="V598" s="39">
        <f t="shared" si="146"/>
        <v>798605</v>
      </c>
      <c r="W598" s="39">
        <v>0</v>
      </c>
      <c r="X598" s="39">
        <f t="shared" si="147"/>
        <v>0</v>
      </c>
      <c r="Y598" s="39">
        <v>0</v>
      </c>
      <c r="Z598" s="40">
        <f t="shared" si="148"/>
        <v>0</v>
      </c>
      <c r="AE598" s="452"/>
      <c r="AN598" s="268"/>
      <c r="AO598" s="578"/>
      <c r="AP598" s="578"/>
      <c r="AQ598" s="578"/>
      <c r="AR598" s="578"/>
      <c r="AS598" s="578"/>
      <c r="AT598" s="578"/>
      <c r="AU598" s="578"/>
    </row>
    <row r="599" spans="1:47" ht="57.75" customHeight="1">
      <c r="A599" s="748" t="s">
        <v>167</v>
      </c>
      <c r="B599" s="977"/>
      <c r="C599" s="977"/>
      <c r="D599" s="977"/>
      <c r="E599" s="977"/>
      <c r="F599" s="977"/>
      <c r="G599" s="977"/>
      <c r="H599" s="977"/>
      <c r="I599" s="982"/>
      <c r="J599" s="83">
        <v>583949.54</v>
      </c>
      <c r="K599" s="83">
        <v>486430</v>
      </c>
      <c r="L599" s="442">
        <v>212</v>
      </c>
      <c r="M599" s="746"/>
      <c r="N599" s="747">
        <v>78</v>
      </c>
      <c r="O599" s="83">
        <v>769.53</v>
      </c>
      <c r="P599" s="83">
        <v>720286</v>
      </c>
      <c r="Q599" s="83">
        <v>720286</v>
      </c>
      <c r="R599" s="83">
        <v>720286</v>
      </c>
      <c r="S599" s="83">
        <v>720286</v>
      </c>
      <c r="T599" s="39">
        <v>240095</v>
      </c>
      <c r="U599" s="39">
        <v>480469</v>
      </c>
      <c r="V599" s="39">
        <f t="shared" si="146"/>
        <v>480469</v>
      </c>
      <c r="W599" s="39">
        <v>0</v>
      </c>
      <c r="X599" s="39">
        <f t="shared" si="147"/>
        <v>0</v>
      </c>
      <c r="Y599" s="39">
        <v>0</v>
      </c>
      <c r="Z599" s="40">
        <f t="shared" si="148"/>
        <v>0</v>
      </c>
      <c r="AE599" s="452"/>
      <c r="AN599" s="268"/>
      <c r="AO599" s="578"/>
      <c r="AP599" s="578"/>
      <c r="AQ599" s="578"/>
      <c r="AR599" s="578"/>
      <c r="AS599" s="578"/>
      <c r="AT599" s="578"/>
      <c r="AU599" s="578"/>
    </row>
    <row r="600" spans="1:47" ht="57.75" customHeight="1">
      <c r="A600" s="748" t="s">
        <v>175</v>
      </c>
      <c r="B600" s="977"/>
      <c r="C600" s="977"/>
      <c r="D600" s="977"/>
      <c r="E600" s="977"/>
      <c r="F600" s="977"/>
      <c r="G600" s="977"/>
      <c r="H600" s="977"/>
      <c r="I600" s="982"/>
      <c r="J600" s="711">
        <v>345374</v>
      </c>
      <c r="K600" s="83">
        <v>258577</v>
      </c>
      <c r="L600" s="442">
        <v>212</v>
      </c>
      <c r="M600" s="746"/>
      <c r="N600" s="747">
        <v>39</v>
      </c>
      <c r="O600" s="83">
        <v>790.81</v>
      </c>
      <c r="P600" s="83">
        <v>370099</v>
      </c>
      <c r="Q600" s="83">
        <v>370099</v>
      </c>
      <c r="R600" s="83">
        <v>370099</v>
      </c>
      <c r="S600" s="83">
        <v>370099</v>
      </c>
      <c r="T600" s="39">
        <v>123366</v>
      </c>
      <c r="U600" s="39">
        <v>257525</v>
      </c>
      <c r="V600" s="39">
        <f t="shared" si="146"/>
        <v>257525</v>
      </c>
      <c r="W600" s="39">
        <v>0</v>
      </c>
      <c r="X600" s="39">
        <f t="shared" si="147"/>
        <v>0</v>
      </c>
      <c r="Y600" s="39">
        <v>0</v>
      </c>
      <c r="Z600" s="40">
        <f t="shared" si="148"/>
        <v>0</v>
      </c>
      <c r="AE600" s="452"/>
      <c r="AN600" s="268"/>
      <c r="AO600" s="578"/>
      <c r="AP600" s="578"/>
      <c r="AQ600" s="578"/>
      <c r="AR600" s="578"/>
      <c r="AS600" s="578"/>
      <c r="AT600" s="578"/>
      <c r="AU600" s="578"/>
    </row>
    <row r="601" spans="1:47" ht="73.5" customHeight="1">
      <c r="A601" s="748" t="s">
        <v>176</v>
      </c>
      <c r="B601" s="977"/>
      <c r="C601" s="977"/>
      <c r="D601" s="977"/>
      <c r="E601" s="977"/>
      <c r="F601" s="977"/>
      <c r="G601" s="977"/>
      <c r="H601" s="977"/>
      <c r="I601" s="982"/>
      <c r="J601" s="711">
        <v>938800</v>
      </c>
      <c r="K601" s="83">
        <v>805726</v>
      </c>
      <c r="L601" s="756">
        <v>212</v>
      </c>
      <c r="M601" s="746"/>
      <c r="N601" s="747">
        <v>112</v>
      </c>
      <c r="O601" s="83">
        <v>788.67</v>
      </c>
      <c r="P601" s="83">
        <v>1059977</v>
      </c>
      <c r="Q601" s="83">
        <v>1059977</v>
      </c>
      <c r="R601" s="83">
        <v>1059977</v>
      </c>
      <c r="S601" s="83">
        <v>1059977</v>
      </c>
      <c r="T601" s="39">
        <v>353326</v>
      </c>
      <c r="U601" s="39">
        <v>789105</v>
      </c>
      <c r="V601" s="39">
        <f t="shared" si="146"/>
        <v>789105</v>
      </c>
      <c r="W601" s="39">
        <v>0</v>
      </c>
      <c r="X601" s="39">
        <f t="shared" si="147"/>
        <v>0</v>
      </c>
      <c r="Y601" s="39">
        <v>0</v>
      </c>
      <c r="Z601" s="40">
        <f t="shared" si="148"/>
        <v>0</v>
      </c>
      <c r="AE601" s="452"/>
      <c r="AN601" s="268"/>
      <c r="AO601" s="578"/>
      <c r="AP601" s="578"/>
      <c r="AQ601" s="578"/>
      <c r="AR601" s="578"/>
      <c r="AS601" s="578"/>
      <c r="AT601" s="578"/>
      <c r="AU601" s="578"/>
    </row>
    <row r="602" spans="1:47" ht="72.75" customHeight="1">
      <c r="A602" s="748" t="s">
        <v>177</v>
      </c>
      <c r="B602" s="977"/>
      <c r="C602" s="977"/>
      <c r="D602" s="977"/>
      <c r="E602" s="977"/>
      <c r="F602" s="977"/>
      <c r="G602" s="977"/>
      <c r="H602" s="977"/>
      <c r="I602" s="982"/>
      <c r="J602" s="711">
        <v>530000</v>
      </c>
      <c r="K602" s="83">
        <v>457712</v>
      </c>
      <c r="L602" s="442">
        <v>212</v>
      </c>
      <c r="M602" s="499"/>
      <c r="N602" s="747">
        <v>58</v>
      </c>
      <c r="O602" s="83">
        <v>790.19</v>
      </c>
      <c r="P602" s="83">
        <v>549974</v>
      </c>
      <c r="Q602" s="83">
        <v>549974</v>
      </c>
      <c r="R602" s="83">
        <v>549974</v>
      </c>
      <c r="S602" s="83">
        <v>549974</v>
      </c>
      <c r="T602" s="39">
        <v>183325</v>
      </c>
      <c r="U602" s="39">
        <v>446630</v>
      </c>
      <c r="V602" s="39">
        <f t="shared" si="146"/>
        <v>446630</v>
      </c>
      <c r="W602" s="39">
        <v>0</v>
      </c>
      <c r="X602" s="39">
        <f t="shared" si="147"/>
        <v>0</v>
      </c>
      <c r="Y602" s="39">
        <v>0</v>
      </c>
      <c r="Z602" s="40">
        <f t="shared" si="148"/>
        <v>0</v>
      </c>
      <c r="AE602" s="452"/>
      <c r="AN602" s="268"/>
      <c r="AO602" s="578"/>
      <c r="AP602" s="578"/>
      <c r="AQ602" s="578"/>
      <c r="AR602" s="578"/>
      <c r="AS602" s="578"/>
      <c r="AT602" s="578"/>
      <c r="AU602" s="578"/>
    </row>
    <row r="603" spans="1:47" ht="79.5" customHeight="1">
      <c r="A603" s="757" t="s">
        <v>470</v>
      </c>
      <c r="B603" s="977"/>
      <c r="C603" s="977"/>
      <c r="D603" s="977"/>
      <c r="E603" s="977"/>
      <c r="F603" s="977"/>
      <c r="G603" s="977"/>
      <c r="H603" s="977"/>
      <c r="I603" s="982"/>
      <c r="J603" s="758">
        <v>904702.5</v>
      </c>
      <c r="K603" s="759">
        <v>690894</v>
      </c>
      <c r="L603" s="760">
        <v>212</v>
      </c>
      <c r="M603" s="761"/>
      <c r="N603" s="762">
        <v>99</v>
      </c>
      <c r="O603" s="759">
        <v>791.73424199999999</v>
      </c>
      <c r="P603" s="83">
        <v>940580</v>
      </c>
      <c r="Q603" s="83">
        <v>940580</v>
      </c>
      <c r="R603" s="83">
        <v>940580</v>
      </c>
      <c r="S603" s="83">
        <v>940580</v>
      </c>
      <c r="T603" s="39">
        <v>313527</v>
      </c>
      <c r="U603" s="39">
        <v>733993</v>
      </c>
      <c r="V603" s="39">
        <f t="shared" si="146"/>
        <v>733993</v>
      </c>
      <c r="W603" s="39">
        <v>0</v>
      </c>
      <c r="X603" s="39">
        <f t="shared" si="147"/>
        <v>0</v>
      </c>
      <c r="Y603" s="39">
        <v>0</v>
      </c>
      <c r="Z603" s="40">
        <f t="shared" si="148"/>
        <v>0</v>
      </c>
      <c r="AE603" s="452"/>
      <c r="AN603" s="268"/>
      <c r="AO603" s="578"/>
      <c r="AP603" s="578"/>
      <c r="AQ603" s="578"/>
      <c r="AR603" s="578"/>
      <c r="AS603" s="578"/>
      <c r="AT603" s="578"/>
      <c r="AU603" s="578"/>
    </row>
    <row r="604" spans="1:47" ht="60.75" customHeight="1">
      <c r="A604" s="748" t="s">
        <v>193</v>
      </c>
      <c r="B604" s="977"/>
      <c r="C604" s="977"/>
      <c r="D604" s="977"/>
      <c r="E604" s="977"/>
      <c r="F604" s="977"/>
      <c r="G604" s="977"/>
      <c r="H604" s="977"/>
      <c r="I604" s="982"/>
      <c r="J604" s="711">
        <v>991459</v>
      </c>
      <c r="K604" s="83">
        <v>731942</v>
      </c>
      <c r="L604" s="442">
        <v>212</v>
      </c>
      <c r="M604" s="746"/>
      <c r="N604" s="747">
        <v>105</v>
      </c>
      <c r="O604" s="83">
        <v>766.21</v>
      </c>
      <c r="P604" s="83">
        <v>965418</v>
      </c>
      <c r="Q604" s="83">
        <v>965418</v>
      </c>
      <c r="R604" s="83">
        <v>965418</v>
      </c>
      <c r="S604" s="83">
        <v>965418</v>
      </c>
      <c r="T604" s="39">
        <v>321806</v>
      </c>
      <c r="U604" s="39">
        <v>733225</v>
      </c>
      <c r="V604" s="39">
        <f t="shared" si="146"/>
        <v>733225</v>
      </c>
      <c r="W604" s="39">
        <v>0</v>
      </c>
      <c r="X604" s="39">
        <f t="shared" si="147"/>
        <v>0</v>
      </c>
      <c r="Y604" s="39">
        <v>0</v>
      </c>
      <c r="Z604" s="40">
        <f t="shared" si="148"/>
        <v>0</v>
      </c>
      <c r="AE604" s="452"/>
      <c r="AN604" s="268"/>
      <c r="AO604" s="578"/>
      <c r="AP604" s="578"/>
      <c r="AQ604" s="578"/>
      <c r="AR604" s="578"/>
      <c r="AS604" s="578"/>
      <c r="AT604" s="578"/>
      <c r="AU604" s="578"/>
    </row>
    <row r="605" spans="1:47" ht="81" customHeight="1">
      <c r="A605" s="748" t="s">
        <v>178</v>
      </c>
      <c r="B605" s="977"/>
      <c r="C605" s="977"/>
      <c r="D605" s="977"/>
      <c r="E605" s="977"/>
      <c r="F605" s="977"/>
      <c r="G605" s="977"/>
      <c r="H605" s="977"/>
      <c r="I605" s="982"/>
      <c r="J605" s="711">
        <v>630370.74</v>
      </c>
      <c r="K605" s="83">
        <v>548770</v>
      </c>
      <c r="L605" s="442">
        <v>212</v>
      </c>
      <c r="M605" s="499"/>
      <c r="N605" s="747">
        <v>75</v>
      </c>
      <c r="O605" s="83">
        <v>811.25</v>
      </c>
      <c r="P605" s="83">
        <v>730122</v>
      </c>
      <c r="Q605" s="83">
        <v>730122</v>
      </c>
      <c r="R605" s="83">
        <v>730122</v>
      </c>
      <c r="S605" s="83">
        <v>730122</v>
      </c>
      <c r="T605" s="39">
        <v>243374</v>
      </c>
      <c r="U605" s="39">
        <v>547591</v>
      </c>
      <c r="V605" s="39">
        <f t="shared" si="146"/>
        <v>547591</v>
      </c>
      <c r="W605" s="39">
        <v>0</v>
      </c>
      <c r="X605" s="39">
        <f t="shared" si="147"/>
        <v>0</v>
      </c>
      <c r="Y605" s="39">
        <v>0</v>
      </c>
      <c r="Z605" s="40">
        <f t="shared" si="148"/>
        <v>0</v>
      </c>
      <c r="AE605" s="452"/>
      <c r="AN605" s="268"/>
      <c r="AO605" s="578"/>
      <c r="AP605" s="578"/>
      <c r="AQ605" s="578"/>
      <c r="AR605" s="578"/>
      <c r="AS605" s="578"/>
      <c r="AT605" s="578"/>
      <c r="AU605" s="578"/>
    </row>
    <row r="606" spans="1:47" ht="66" customHeight="1">
      <c r="A606" s="748" t="s">
        <v>173</v>
      </c>
      <c r="B606" s="977"/>
      <c r="C606" s="977"/>
      <c r="D606" s="977"/>
      <c r="E606" s="977"/>
      <c r="F606" s="977"/>
      <c r="G606" s="977"/>
      <c r="H606" s="977"/>
      <c r="I606" s="982"/>
      <c r="J606" s="711">
        <v>537281.07999999996</v>
      </c>
      <c r="K606" s="293">
        <v>778365</v>
      </c>
      <c r="L606" s="763">
        <v>212</v>
      </c>
      <c r="M606" s="401"/>
      <c r="N606" s="752">
        <v>105</v>
      </c>
      <c r="O606" s="293">
        <v>721.72</v>
      </c>
      <c r="P606" s="83">
        <v>909363</v>
      </c>
      <c r="Q606" s="83">
        <v>909363</v>
      </c>
      <c r="R606" s="83">
        <v>909363</v>
      </c>
      <c r="S606" s="83">
        <v>909363</v>
      </c>
      <c r="T606" s="39">
        <v>303121</v>
      </c>
      <c r="U606" s="39">
        <v>632791</v>
      </c>
      <c r="V606" s="39">
        <f t="shared" si="146"/>
        <v>632791</v>
      </c>
      <c r="W606" s="39">
        <v>0</v>
      </c>
      <c r="X606" s="39">
        <f t="shared" si="147"/>
        <v>0</v>
      </c>
      <c r="Y606" s="39">
        <v>0</v>
      </c>
      <c r="Z606" s="40">
        <f t="shared" si="148"/>
        <v>0</v>
      </c>
      <c r="AE606" s="452"/>
      <c r="AN606" s="268"/>
      <c r="AO606" s="578"/>
      <c r="AP606" s="578"/>
      <c r="AQ606" s="578"/>
      <c r="AR606" s="578"/>
      <c r="AS606" s="578"/>
      <c r="AT606" s="578"/>
      <c r="AU606" s="578"/>
    </row>
    <row r="607" spans="1:47" ht="69.75" customHeight="1">
      <c r="A607" s="748" t="s">
        <v>714</v>
      </c>
      <c r="B607" s="977"/>
      <c r="C607" s="977"/>
      <c r="D607" s="977"/>
      <c r="E607" s="977"/>
      <c r="F607" s="977"/>
      <c r="G607" s="977"/>
      <c r="H607" s="977"/>
      <c r="I607" s="982"/>
      <c r="J607" s="711">
        <v>872731</v>
      </c>
      <c r="K607" s="83">
        <v>644956</v>
      </c>
      <c r="L607" s="442">
        <v>212</v>
      </c>
      <c r="M607" s="746"/>
      <c r="N607" s="747">
        <v>96</v>
      </c>
      <c r="O607" s="83">
        <v>788.9</v>
      </c>
      <c r="P607" s="83">
        <v>908813</v>
      </c>
      <c r="Q607" s="83">
        <v>908813</v>
      </c>
      <c r="R607" s="83">
        <v>908813</v>
      </c>
      <c r="S607" s="83">
        <v>908813</v>
      </c>
      <c r="T607" s="39">
        <v>302938</v>
      </c>
      <c r="U607" s="39">
        <v>733852</v>
      </c>
      <c r="V607" s="39">
        <f t="shared" si="146"/>
        <v>733852</v>
      </c>
      <c r="W607" s="39">
        <v>0</v>
      </c>
      <c r="X607" s="39">
        <f t="shared" si="147"/>
        <v>0</v>
      </c>
      <c r="Y607" s="39">
        <v>0</v>
      </c>
      <c r="Z607" s="40">
        <f t="shared" si="148"/>
        <v>0</v>
      </c>
      <c r="AE607" s="452"/>
      <c r="AN607" s="268"/>
      <c r="AO607" s="578"/>
      <c r="AP607" s="578"/>
      <c r="AQ607" s="578"/>
      <c r="AR607" s="578"/>
      <c r="AS607" s="578"/>
      <c r="AT607" s="578"/>
      <c r="AU607" s="578"/>
    </row>
    <row r="608" spans="1:47" ht="42.75" customHeight="1">
      <c r="A608" s="748" t="s">
        <v>169</v>
      </c>
      <c r="B608" s="977"/>
      <c r="C608" s="977"/>
      <c r="D608" s="977"/>
      <c r="E608" s="977"/>
      <c r="F608" s="977"/>
      <c r="G608" s="977"/>
      <c r="H608" s="977"/>
      <c r="I608" s="982"/>
      <c r="J608" s="711">
        <v>215928</v>
      </c>
      <c r="K608" s="83">
        <v>246224</v>
      </c>
      <c r="L608" s="442">
        <v>212</v>
      </c>
      <c r="M608" s="746"/>
      <c r="N608" s="747">
        <v>37</v>
      </c>
      <c r="O608" s="83">
        <v>728.86</v>
      </c>
      <c r="P608" s="39">
        <v>323614</v>
      </c>
      <c r="Q608" s="39">
        <v>323614</v>
      </c>
      <c r="R608" s="39">
        <v>323614</v>
      </c>
      <c r="S608" s="39">
        <v>323614</v>
      </c>
      <c r="T608" s="39">
        <v>107871</v>
      </c>
      <c r="U608" s="39">
        <v>226554</v>
      </c>
      <c r="V608" s="39">
        <f t="shared" si="146"/>
        <v>226554</v>
      </c>
      <c r="W608" s="39">
        <v>0</v>
      </c>
      <c r="X608" s="39">
        <f t="shared" si="147"/>
        <v>0</v>
      </c>
      <c r="Y608" s="39">
        <v>0</v>
      </c>
      <c r="Z608" s="40">
        <f t="shared" si="148"/>
        <v>0</v>
      </c>
      <c r="AE608" s="452"/>
      <c r="AN608" s="268"/>
      <c r="AO608" s="578"/>
      <c r="AP608" s="578"/>
      <c r="AQ608" s="578"/>
      <c r="AR608" s="578"/>
      <c r="AS608" s="578"/>
      <c r="AT608" s="578"/>
      <c r="AU608" s="578"/>
    </row>
    <row r="609" spans="1:47" ht="53.25" customHeight="1">
      <c r="A609" s="978" t="s">
        <v>214</v>
      </c>
      <c r="B609" s="979"/>
      <c r="C609" s="979"/>
      <c r="D609" s="979"/>
      <c r="E609" s="979"/>
      <c r="F609" s="979"/>
      <c r="G609" s="979"/>
      <c r="H609" s="979"/>
      <c r="I609" s="979"/>
      <c r="J609" s="979"/>
      <c r="K609" s="979"/>
      <c r="L609" s="979"/>
      <c r="M609" s="979"/>
      <c r="N609" s="980"/>
      <c r="O609" s="441"/>
      <c r="P609" s="764"/>
      <c r="Q609" s="764"/>
      <c r="R609" s="764"/>
      <c r="S609" s="764"/>
      <c r="T609" s="764"/>
      <c r="U609" s="764">
        <f t="shared" ref="U609:Z609" si="149">U610+U622</f>
        <v>25200000</v>
      </c>
      <c r="V609" s="764">
        <f t="shared" si="149"/>
        <v>25200000</v>
      </c>
      <c r="W609" s="764">
        <f t="shared" si="149"/>
        <v>2037352.63</v>
      </c>
      <c r="X609" s="764">
        <f t="shared" si="149"/>
        <v>2037352.63</v>
      </c>
      <c r="Y609" s="764">
        <f t="shared" si="149"/>
        <v>2037352.63</v>
      </c>
      <c r="Z609" s="764">
        <f t="shared" si="149"/>
        <v>2037352.63</v>
      </c>
      <c r="AE609" s="452"/>
      <c r="AN609" s="268"/>
      <c r="AO609" s="578"/>
      <c r="AP609" s="578"/>
      <c r="AQ609" s="578"/>
      <c r="AR609" s="578"/>
      <c r="AS609" s="578"/>
      <c r="AT609" s="578"/>
      <c r="AU609" s="578"/>
    </row>
    <row r="610" spans="1:47" ht="284.25" customHeight="1">
      <c r="A610" s="425" t="s">
        <v>715</v>
      </c>
      <c r="B610" s="588" t="s">
        <v>22</v>
      </c>
      <c r="C610" s="588" t="s">
        <v>23</v>
      </c>
      <c r="D610" s="588" t="s">
        <v>716</v>
      </c>
      <c r="E610" s="588" t="s">
        <v>25</v>
      </c>
      <c r="F610" s="588" t="s">
        <v>717</v>
      </c>
      <c r="G610" s="588" t="s">
        <v>718</v>
      </c>
      <c r="H610" s="588" t="s">
        <v>28</v>
      </c>
      <c r="I610" s="765" t="s">
        <v>707</v>
      </c>
      <c r="J610" s="446" t="e">
        <f>#REF!</f>
        <v>#REF!</v>
      </c>
      <c r="K610" s="446" t="e">
        <f>#REF!</f>
        <v>#REF!</v>
      </c>
      <c r="L610" s="742"/>
      <c r="M610" s="766"/>
      <c r="N610" s="767" t="s">
        <v>468</v>
      </c>
      <c r="O610" s="446" t="e">
        <f>#REF!</f>
        <v>#REF!</v>
      </c>
      <c r="P610" s="446" t="e">
        <f>#REF!</f>
        <v>#REF!</v>
      </c>
      <c r="Q610" s="446" t="e">
        <f>#REF!</f>
        <v>#REF!</v>
      </c>
      <c r="R610" s="446" t="e">
        <f>#REF!</f>
        <v>#REF!</v>
      </c>
      <c r="S610" s="446" t="e">
        <f>#REF!</f>
        <v>#REF!</v>
      </c>
      <c r="T610" s="446">
        <f>T617</f>
        <v>1996605.26</v>
      </c>
      <c r="U610" s="446">
        <f t="shared" ref="U610:Z610" si="150">U611+U618</f>
        <v>25200000</v>
      </c>
      <c r="V610" s="446">
        <f t="shared" si="150"/>
        <v>25200000</v>
      </c>
      <c r="W610" s="446">
        <f t="shared" si="150"/>
        <v>0</v>
      </c>
      <c r="X610" s="446">
        <f t="shared" si="150"/>
        <v>0</v>
      </c>
      <c r="Y610" s="446">
        <f t="shared" si="150"/>
        <v>0</v>
      </c>
      <c r="Z610" s="446">
        <f t="shared" si="150"/>
        <v>0</v>
      </c>
      <c r="AE610" s="452"/>
      <c r="AN610" s="268"/>
      <c r="AO610" s="578"/>
      <c r="AP610" s="578"/>
      <c r="AQ610" s="578"/>
      <c r="AR610" s="578"/>
      <c r="AS610" s="578"/>
      <c r="AT610" s="578"/>
      <c r="AU610" s="578"/>
    </row>
    <row r="611" spans="1:47" ht="47.25" customHeight="1">
      <c r="A611" s="768"/>
      <c r="B611" s="959"/>
      <c r="C611" s="960"/>
      <c r="D611" s="960"/>
      <c r="E611" s="960"/>
      <c r="F611" s="960"/>
      <c r="G611" s="960"/>
      <c r="H611" s="961"/>
      <c r="I611" s="968" t="s">
        <v>719</v>
      </c>
      <c r="J611" s="769"/>
      <c r="K611" s="769"/>
      <c r="L611" s="770"/>
      <c r="M611" s="771" t="s">
        <v>720</v>
      </c>
      <c r="N611" s="772">
        <f>N612+N613+N614+N615+N616+N617</f>
        <v>48</v>
      </c>
      <c r="O611" s="769"/>
      <c r="P611" s="769"/>
      <c r="Q611" s="769"/>
      <c r="R611" s="769"/>
      <c r="S611" s="769"/>
      <c r="T611" s="769"/>
      <c r="U611" s="769">
        <f t="shared" ref="U611:Z611" si="151">U612+U613+U617+U614+U615+U616</f>
        <v>19200000</v>
      </c>
      <c r="V611" s="769">
        <f t="shared" si="151"/>
        <v>19200000</v>
      </c>
      <c r="W611" s="769">
        <f t="shared" si="151"/>
        <v>0</v>
      </c>
      <c r="X611" s="769">
        <f t="shared" si="151"/>
        <v>0</v>
      </c>
      <c r="Y611" s="769">
        <f t="shared" si="151"/>
        <v>0</v>
      </c>
      <c r="Z611" s="769">
        <f t="shared" si="151"/>
        <v>0</v>
      </c>
      <c r="AB611" s="905"/>
      <c r="AE611" s="452"/>
      <c r="AN611" s="268"/>
      <c r="AO611" s="578"/>
      <c r="AP611" s="578"/>
      <c r="AQ611" s="578"/>
      <c r="AR611" s="578"/>
      <c r="AS611" s="578"/>
      <c r="AT611" s="578"/>
      <c r="AU611" s="578"/>
    </row>
    <row r="612" spans="1:47" ht="60.75" customHeight="1">
      <c r="A612" s="773" t="s">
        <v>165</v>
      </c>
      <c r="B612" s="962"/>
      <c r="C612" s="963"/>
      <c r="D612" s="963"/>
      <c r="E612" s="963"/>
      <c r="F612" s="963"/>
      <c r="G612" s="963"/>
      <c r="H612" s="964"/>
      <c r="I612" s="969"/>
      <c r="J612" s="769"/>
      <c r="K612" s="769"/>
      <c r="L612" s="770"/>
      <c r="M612" s="774" t="s">
        <v>721</v>
      </c>
      <c r="N612" s="775">
        <v>1</v>
      </c>
      <c r="O612" s="769"/>
      <c r="P612" s="769"/>
      <c r="Q612" s="769"/>
      <c r="R612" s="769"/>
      <c r="S612" s="769"/>
      <c r="T612" s="769"/>
      <c r="U612" s="468">
        <v>400000</v>
      </c>
      <c r="V612" s="468">
        <f>U612</f>
        <v>400000</v>
      </c>
      <c r="W612" s="468">
        <v>0</v>
      </c>
      <c r="X612" s="468">
        <v>0</v>
      </c>
      <c r="Y612" s="468">
        <v>0</v>
      </c>
      <c r="Z612" s="468">
        <v>0</v>
      </c>
      <c r="AE612" s="452"/>
      <c r="AN612" s="268"/>
      <c r="AO612" s="578"/>
      <c r="AP612" s="578"/>
      <c r="AQ612" s="578"/>
      <c r="AR612" s="578"/>
      <c r="AS612" s="578"/>
      <c r="AT612" s="578"/>
      <c r="AU612" s="578"/>
    </row>
    <row r="613" spans="1:47" ht="81.75" customHeight="1">
      <c r="A613" s="773" t="s">
        <v>173</v>
      </c>
      <c r="B613" s="962"/>
      <c r="C613" s="963"/>
      <c r="D613" s="963"/>
      <c r="E613" s="963"/>
      <c r="F613" s="963"/>
      <c r="G613" s="963"/>
      <c r="H613" s="964"/>
      <c r="I613" s="969"/>
      <c r="J613" s="769"/>
      <c r="K613" s="769"/>
      <c r="L613" s="770"/>
      <c r="M613" s="776" t="s">
        <v>722</v>
      </c>
      <c r="N613" s="775">
        <v>2</v>
      </c>
      <c r="O613" s="769"/>
      <c r="P613" s="769"/>
      <c r="Q613" s="769"/>
      <c r="R613" s="769"/>
      <c r="S613" s="769"/>
      <c r="T613" s="769"/>
      <c r="U613" s="468">
        <v>800000</v>
      </c>
      <c r="V613" s="468">
        <f>U613</f>
        <v>800000</v>
      </c>
      <c r="W613" s="468">
        <v>0</v>
      </c>
      <c r="X613" s="468">
        <v>0</v>
      </c>
      <c r="Y613" s="468">
        <v>0</v>
      </c>
      <c r="Z613" s="468">
        <v>0</v>
      </c>
      <c r="AE613" s="452"/>
      <c r="AN613" s="268"/>
      <c r="AO613" s="578"/>
      <c r="AP613" s="578"/>
      <c r="AQ613" s="578"/>
      <c r="AR613" s="578"/>
      <c r="AS613" s="578"/>
      <c r="AT613" s="578"/>
      <c r="AU613" s="578"/>
    </row>
    <row r="614" spans="1:47" ht="61.5" customHeight="1">
      <c r="A614" s="773" t="s">
        <v>157</v>
      </c>
      <c r="B614" s="962"/>
      <c r="C614" s="963"/>
      <c r="D614" s="963"/>
      <c r="E614" s="963"/>
      <c r="F614" s="963"/>
      <c r="G614" s="963"/>
      <c r="H614" s="964"/>
      <c r="I614" s="969"/>
      <c r="J614" s="769"/>
      <c r="K614" s="769"/>
      <c r="L614" s="770"/>
      <c r="M614" s="777" t="s">
        <v>723</v>
      </c>
      <c r="N614" s="775">
        <v>1</v>
      </c>
      <c r="O614" s="769"/>
      <c r="P614" s="769"/>
      <c r="Q614" s="769"/>
      <c r="R614" s="769"/>
      <c r="S614" s="769"/>
      <c r="T614" s="769"/>
      <c r="U614" s="468">
        <v>400000</v>
      </c>
      <c r="V614" s="468">
        <v>400000</v>
      </c>
      <c r="W614" s="468">
        <v>0</v>
      </c>
      <c r="X614" s="468">
        <v>0</v>
      </c>
      <c r="Y614" s="468">
        <v>0</v>
      </c>
      <c r="Z614" s="468">
        <v>0</v>
      </c>
      <c r="AE614" s="452"/>
      <c r="AN614" s="268"/>
      <c r="AO614" s="578"/>
      <c r="AP614" s="578"/>
      <c r="AQ614" s="578"/>
      <c r="AR614" s="578"/>
      <c r="AS614" s="578"/>
      <c r="AT614" s="578"/>
      <c r="AU614" s="578"/>
    </row>
    <row r="615" spans="1:47" ht="81.75" customHeight="1">
      <c r="A615" s="773" t="s">
        <v>163</v>
      </c>
      <c r="B615" s="962"/>
      <c r="C615" s="963"/>
      <c r="D615" s="963"/>
      <c r="E615" s="963"/>
      <c r="F615" s="963"/>
      <c r="G615" s="963"/>
      <c r="H615" s="964"/>
      <c r="I615" s="969"/>
      <c r="J615" s="769"/>
      <c r="K615" s="769"/>
      <c r="L615" s="770"/>
      <c r="M615" s="777" t="s">
        <v>724</v>
      </c>
      <c r="N615" s="775">
        <v>1</v>
      </c>
      <c r="O615" s="769"/>
      <c r="P615" s="769"/>
      <c r="Q615" s="769"/>
      <c r="R615" s="769"/>
      <c r="S615" s="769"/>
      <c r="T615" s="769"/>
      <c r="U615" s="468">
        <v>400000</v>
      </c>
      <c r="V615" s="468">
        <v>400000</v>
      </c>
      <c r="W615" s="468">
        <v>0</v>
      </c>
      <c r="X615" s="468">
        <v>0</v>
      </c>
      <c r="Y615" s="468">
        <v>0</v>
      </c>
      <c r="Z615" s="468">
        <v>0</v>
      </c>
      <c r="AE615" s="452"/>
      <c r="AN615" s="268"/>
      <c r="AO615" s="578"/>
      <c r="AP615" s="578"/>
      <c r="AQ615" s="578"/>
      <c r="AR615" s="578"/>
      <c r="AS615" s="578"/>
      <c r="AT615" s="578"/>
      <c r="AU615" s="578"/>
    </row>
    <row r="616" spans="1:47" ht="60.75" customHeight="1">
      <c r="A616" s="773" t="s">
        <v>167</v>
      </c>
      <c r="B616" s="962"/>
      <c r="C616" s="963"/>
      <c r="D616" s="963"/>
      <c r="E616" s="963"/>
      <c r="F616" s="963"/>
      <c r="G616" s="963"/>
      <c r="H616" s="964"/>
      <c r="I616" s="969"/>
      <c r="J616" s="769"/>
      <c r="K616" s="769"/>
      <c r="L616" s="770"/>
      <c r="M616" s="777" t="s">
        <v>725</v>
      </c>
      <c r="N616" s="775">
        <v>1</v>
      </c>
      <c r="O616" s="769"/>
      <c r="P616" s="769"/>
      <c r="Q616" s="769"/>
      <c r="R616" s="769"/>
      <c r="S616" s="769"/>
      <c r="T616" s="769"/>
      <c r="U616" s="468">
        <v>400000</v>
      </c>
      <c r="V616" s="468">
        <v>400000</v>
      </c>
      <c r="W616" s="468">
        <v>0</v>
      </c>
      <c r="X616" s="468">
        <v>0</v>
      </c>
      <c r="Y616" s="468">
        <v>0</v>
      </c>
      <c r="Z616" s="468">
        <v>0</v>
      </c>
      <c r="AE616" s="452"/>
      <c r="AN616" s="268"/>
      <c r="AO616" s="578"/>
      <c r="AP616" s="578"/>
      <c r="AQ616" s="578"/>
      <c r="AR616" s="578"/>
      <c r="AS616" s="578"/>
      <c r="AT616" s="578"/>
      <c r="AU616" s="578"/>
    </row>
    <row r="617" spans="1:47" ht="78.75" customHeight="1">
      <c r="A617" s="778" t="s">
        <v>132</v>
      </c>
      <c r="B617" s="965"/>
      <c r="C617" s="966"/>
      <c r="D617" s="966"/>
      <c r="E617" s="966"/>
      <c r="F617" s="966"/>
      <c r="G617" s="966"/>
      <c r="H617" s="967"/>
      <c r="I617" s="969"/>
      <c r="J617" s="779"/>
      <c r="K617" s="83">
        <v>4500000</v>
      </c>
      <c r="L617" s="442"/>
      <c r="M617" s="780"/>
      <c r="N617" s="781">
        <v>42</v>
      </c>
      <c r="O617" s="83">
        <v>400000</v>
      </c>
      <c r="P617" s="83"/>
      <c r="Q617" s="782" t="e">
        <f>O617*#REF!</f>
        <v>#REF!</v>
      </c>
      <c r="R617" s="83" t="e">
        <f>O617*#REF!</f>
        <v>#REF!</v>
      </c>
      <c r="S617" s="83" t="e">
        <f>O617*#REF!</f>
        <v>#REF!</v>
      </c>
      <c r="T617" s="39">
        <v>1996605.26</v>
      </c>
      <c r="U617" s="39">
        <v>16800000</v>
      </c>
      <c r="V617" s="39">
        <f>U617</f>
        <v>16800000</v>
      </c>
      <c r="W617" s="468">
        <v>0</v>
      </c>
      <c r="X617" s="468">
        <v>0</v>
      </c>
      <c r="Y617" s="468">
        <v>0</v>
      </c>
      <c r="Z617" s="468">
        <v>0</v>
      </c>
      <c r="AE617" s="452"/>
      <c r="AN617" s="268"/>
      <c r="AO617" s="578"/>
      <c r="AP617" s="578"/>
      <c r="AQ617" s="578"/>
      <c r="AR617" s="578"/>
      <c r="AS617" s="578"/>
      <c r="AT617" s="578"/>
      <c r="AU617" s="578"/>
    </row>
    <row r="618" spans="1:47" ht="71.25" customHeight="1">
      <c r="A618" s="778"/>
      <c r="B618" s="959"/>
      <c r="C618" s="960"/>
      <c r="D618" s="960"/>
      <c r="E618" s="960"/>
      <c r="F618" s="960"/>
      <c r="G618" s="960"/>
      <c r="H618" s="961"/>
      <c r="I618" s="969"/>
      <c r="J618" s="779"/>
      <c r="K618" s="83"/>
      <c r="L618" s="442"/>
      <c r="M618" s="780" t="s">
        <v>726</v>
      </c>
      <c r="N618" s="783">
        <v>30</v>
      </c>
      <c r="O618" s="784"/>
      <c r="P618" s="784"/>
      <c r="Q618" s="785"/>
      <c r="R618" s="784"/>
      <c r="S618" s="784"/>
      <c r="T618" s="406"/>
      <c r="U618" s="406">
        <f t="shared" ref="U618:Z618" si="152">U619+U621+U620</f>
        <v>6000000</v>
      </c>
      <c r="V618" s="406">
        <f t="shared" si="152"/>
        <v>6000000</v>
      </c>
      <c r="W618" s="406">
        <f t="shared" si="152"/>
        <v>0</v>
      </c>
      <c r="X618" s="406">
        <f t="shared" si="152"/>
        <v>0</v>
      </c>
      <c r="Y618" s="406">
        <f t="shared" si="152"/>
        <v>0</v>
      </c>
      <c r="Z618" s="406">
        <f t="shared" si="152"/>
        <v>0</v>
      </c>
      <c r="AE618" s="452"/>
      <c r="AN618" s="268"/>
      <c r="AO618" s="578"/>
      <c r="AP618" s="578"/>
      <c r="AQ618" s="578"/>
      <c r="AR618" s="578"/>
      <c r="AS618" s="578"/>
      <c r="AT618" s="578"/>
      <c r="AU618" s="578"/>
    </row>
    <row r="619" spans="1:47" ht="72.75" customHeight="1">
      <c r="A619" s="773" t="s">
        <v>173</v>
      </c>
      <c r="B619" s="962"/>
      <c r="C619" s="963"/>
      <c r="D619" s="963"/>
      <c r="E619" s="963"/>
      <c r="F619" s="963"/>
      <c r="G619" s="963"/>
      <c r="H619" s="964"/>
      <c r="I619" s="969"/>
      <c r="J619" s="779"/>
      <c r="K619" s="83"/>
      <c r="L619" s="442"/>
      <c r="M619" s="786" t="s">
        <v>727</v>
      </c>
      <c r="N619" s="781">
        <v>1</v>
      </c>
      <c r="O619" s="83"/>
      <c r="P619" s="83"/>
      <c r="Q619" s="782"/>
      <c r="R619" s="83"/>
      <c r="S619" s="83"/>
      <c r="T619" s="39"/>
      <c r="U619" s="39">
        <v>200000</v>
      </c>
      <c r="V619" s="39">
        <v>200000</v>
      </c>
      <c r="W619" s="468">
        <v>0</v>
      </c>
      <c r="X619" s="468">
        <v>0</v>
      </c>
      <c r="Y619" s="468">
        <v>0</v>
      </c>
      <c r="Z619" s="468">
        <v>0</v>
      </c>
      <c r="AB619" s="905"/>
      <c r="AE619" s="452"/>
      <c r="AN619" s="268"/>
      <c r="AO619" s="578"/>
      <c r="AP619" s="578"/>
      <c r="AQ619" s="578"/>
      <c r="AR619" s="578"/>
      <c r="AS619" s="578"/>
      <c r="AT619" s="578"/>
      <c r="AU619" s="578"/>
    </row>
    <row r="620" spans="1:47" ht="71.25" customHeight="1">
      <c r="A620" s="773" t="s">
        <v>174</v>
      </c>
      <c r="B620" s="962"/>
      <c r="C620" s="963"/>
      <c r="D620" s="963"/>
      <c r="E620" s="963"/>
      <c r="F620" s="963"/>
      <c r="G620" s="963"/>
      <c r="H620" s="964"/>
      <c r="I620" s="969"/>
      <c r="J620" s="779"/>
      <c r="K620" s="83"/>
      <c r="L620" s="442"/>
      <c r="M620" s="786" t="s">
        <v>727</v>
      </c>
      <c r="N620" s="781">
        <v>1</v>
      </c>
      <c r="O620" s="83"/>
      <c r="P620" s="83"/>
      <c r="Q620" s="782"/>
      <c r="R620" s="83"/>
      <c r="S620" s="83"/>
      <c r="T620" s="39"/>
      <c r="U620" s="39">
        <v>200000</v>
      </c>
      <c r="V620" s="39">
        <v>200000</v>
      </c>
      <c r="W620" s="468">
        <v>0</v>
      </c>
      <c r="X620" s="468">
        <v>0</v>
      </c>
      <c r="Y620" s="468">
        <v>0</v>
      </c>
      <c r="Z620" s="468">
        <v>0</v>
      </c>
      <c r="AB620" s="905"/>
      <c r="AE620" s="452"/>
      <c r="AN620" s="268"/>
      <c r="AO620" s="578"/>
      <c r="AP620" s="578"/>
      <c r="AQ620" s="578"/>
      <c r="AR620" s="578"/>
      <c r="AS620" s="578"/>
      <c r="AT620" s="578"/>
      <c r="AU620" s="578"/>
    </row>
    <row r="621" spans="1:47" ht="72" customHeight="1">
      <c r="A621" s="778" t="s">
        <v>132</v>
      </c>
      <c r="B621" s="965"/>
      <c r="C621" s="966"/>
      <c r="D621" s="966"/>
      <c r="E621" s="966"/>
      <c r="F621" s="966"/>
      <c r="G621" s="966"/>
      <c r="H621" s="967"/>
      <c r="I621" s="970"/>
      <c r="J621" s="779"/>
      <c r="K621" s="83"/>
      <c r="L621" s="442"/>
      <c r="M621" s="780"/>
      <c r="N621" s="781">
        <v>28</v>
      </c>
      <c r="O621" s="83"/>
      <c r="P621" s="83"/>
      <c r="Q621" s="782"/>
      <c r="R621" s="83"/>
      <c r="S621" s="83"/>
      <c r="T621" s="39"/>
      <c r="U621" s="39">
        <v>5600000</v>
      </c>
      <c r="V621" s="39">
        <f>U621</f>
        <v>5600000</v>
      </c>
      <c r="W621" s="468">
        <v>0</v>
      </c>
      <c r="X621" s="468">
        <v>0</v>
      </c>
      <c r="Y621" s="468">
        <v>0</v>
      </c>
      <c r="Z621" s="468">
        <v>0</v>
      </c>
      <c r="AE621" s="452"/>
      <c r="AN621" s="268"/>
      <c r="AO621" s="578"/>
      <c r="AP621" s="578"/>
      <c r="AQ621" s="578"/>
      <c r="AR621" s="578"/>
      <c r="AS621" s="578"/>
      <c r="AT621" s="578"/>
      <c r="AU621" s="578"/>
    </row>
    <row r="622" spans="1:47" ht="286.5" customHeight="1">
      <c r="A622" s="425" t="s">
        <v>715</v>
      </c>
      <c r="B622" s="588" t="s">
        <v>22</v>
      </c>
      <c r="C622" s="588" t="s">
        <v>23</v>
      </c>
      <c r="D622" s="588" t="s">
        <v>716</v>
      </c>
      <c r="E622" s="588" t="s">
        <v>25</v>
      </c>
      <c r="F622" s="588" t="s">
        <v>717</v>
      </c>
      <c r="G622" s="588" t="s">
        <v>217</v>
      </c>
      <c r="H622" s="588" t="s">
        <v>28</v>
      </c>
      <c r="I622" s="765" t="s">
        <v>707</v>
      </c>
      <c r="J622" s="446" t="e">
        <f>#REF!</f>
        <v>#REF!</v>
      </c>
      <c r="K622" s="446" t="e">
        <f>#REF!</f>
        <v>#REF!</v>
      </c>
      <c r="L622" s="742"/>
      <c r="M622" s="766"/>
      <c r="N622" s="767" t="s">
        <v>468</v>
      </c>
      <c r="O622" s="446" t="e">
        <f>#REF!</f>
        <v>#REF!</v>
      </c>
      <c r="P622" s="446" t="e">
        <f>#REF!</f>
        <v>#REF!</v>
      </c>
      <c r="Q622" s="446" t="e">
        <f>#REF!</f>
        <v>#REF!</v>
      </c>
      <c r="R622" s="446" t="e">
        <f>#REF!</f>
        <v>#REF!</v>
      </c>
      <c r="S622" s="446" t="e">
        <f>#REF!</f>
        <v>#REF!</v>
      </c>
      <c r="T622" s="446">
        <f>T623</f>
        <v>1996605.26</v>
      </c>
      <c r="U622" s="446">
        <f t="shared" ref="U622:Z622" si="153">U623+U624</f>
        <v>0</v>
      </c>
      <c r="V622" s="446">
        <f t="shared" si="153"/>
        <v>0</v>
      </c>
      <c r="W622" s="446">
        <f t="shared" si="153"/>
        <v>2037352.63</v>
      </c>
      <c r="X622" s="446">
        <f t="shared" si="153"/>
        <v>2037352.63</v>
      </c>
      <c r="Y622" s="446">
        <f t="shared" si="153"/>
        <v>2037352.63</v>
      </c>
      <c r="Z622" s="446">
        <f t="shared" si="153"/>
        <v>2037352.63</v>
      </c>
      <c r="AE622" s="452"/>
      <c r="AN622" s="268"/>
      <c r="AO622" s="578"/>
      <c r="AP622" s="578"/>
      <c r="AQ622" s="578"/>
      <c r="AR622" s="578"/>
      <c r="AS622" s="578"/>
      <c r="AT622" s="578"/>
      <c r="AU622" s="578"/>
    </row>
    <row r="623" spans="1:47" ht="183" customHeight="1">
      <c r="A623" s="968" t="s">
        <v>132</v>
      </c>
      <c r="B623" s="971"/>
      <c r="C623" s="972"/>
      <c r="D623" s="972"/>
      <c r="E623" s="972"/>
      <c r="F623" s="972"/>
      <c r="G623" s="972"/>
      <c r="H623" s="973"/>
      <c r="I623" s="968" t="s">
        <v>719</v>
      </c>
      <c r="J623" s="779"/>
      <c r="K623" s="83">
        <v>4500000</v>
      </c>
      <c r="L623" s="442"/>
      <c r="M623" s="786" t="s">
        <v>720</v>
      </c>
      <c r="N623" s="781" t="s">
        <v>728</v>
      </c>
      <c r="O623" s="83">
        <v>400000</v>
      </c>
      <c r="P623" s="83"/>
      <c r="Q623" s="782" t="e">
        <f>O623*#REF!</f>
        <v>#REF!</v>
      </c>
      <c r="R623" s="83" t="e">
        <f>O623*#REF!</f>
        <v>#REF!</v>
      </c>
      <c r="S623" s="83" t="e">
        <f>O623*#REF!</f>
        <v>#REF!</v>
      </c>
      <c r="T623" s="39">
        <v>1996605.26</v>
      </c>
      <c r="U623" s="39">
        <v>0</v>
      </c>
      <c r="V623" s="39">
        <v>0</v>
      </c>
      <c r="W623" s="953">
        <v>2037352.63</v>
      </c>
      <c r="X623" s="953">
        <f>W623</f>
        <v>2037352.63</v>
      </c>
      <c r="Y623" s="953">
        <v>2037352.63</v>
      </c>
      <c r="Z623" s="955">
        <f>Y623</f>
        <v>2037352.63</v>
      </c>
      <c r="AE623" s="452"/>
      <c r="AN623" s="268"/>
      <c r="AO623" s="578"/>
      <c r="AP623" s="578"/>
      <c r="AQ623" s="578"/>
      <c r="AR623" s="578"/>
      <c r="AS623" s="578"/>
      <c r="AT623" s="578"/>
      <c r="AU623" s="578"/>
    </row>
    <row r="624" spans="1:47" s="787" customFormat="1" ht="146.25" customHeight="1">
      <c r="A624" s="970"/>
      <c r="B624" s="974"/>
      <c r="C624" s="975"/>
      <c r="D624" s="975"/>
      <c r="E624" s="975"/>
      <c r="F624" s="975"/>
      <c r="G624" s="975"/>
      <c r="H624" s="976"/>
      <c r="I624" s="970"/>
      <c r="J624" s="779"/>
      <c r="K624" s="83"/>
      <c r="L624" s="442"/>
      <c r="M624" s="786" t="s">
        <v>726</v>
      </c>
      <c r="N624" s="781" t="s">
        <v>729</v>
      </c>
      <c r="O624" s="83"/>
      <c r="P624" s="83"/>
      <c r="Q624" s="782"/>
      <c r="R624" s="83"/>
      <c r="S624" s="83"/>
      <c r="T624" s="39"/>
      <c r="U624" s="39">
        <v>0</v>
      </c>
      <c r="V624" s="39">
        <v>0</v>
      </c>
      <c r="W624" s="954"/>
      <c r="X624" s="954"/>
      <c r="Y624" s="954"/>
      <c r="Z624" s="956"/>
      <c r="AA624" s="911"/>
      <c r="AB624" s="911"/>
      <c r="AC624" s="911"/>
      <c r="AD624" s="911"/>
    </row>
    <row r="625" spans="1:30" s="787" customFormat="1" ht="35.25" customHeight="1">
      <c r="A625" s="932" t="s">
        <v>730</v>
      </c>
      <c r="B625" s="932"/>
      <c r="C625" s="932"/>
      <c r="D625" s="932"/>
      <c r="E625" s="932"/>
      <c r="F625" s="932"/>
      <c r="G625" s="932"/>
      <c r="H625" s="932"/>
      <c r="I625" s="932"/>
      <c r="J625" s="932"/>
      <c r="K625" s="932"/>
      <c r="L625" s="932"/>
      <c r="M625" s="932"/>
      <c r="N625" s="932"/>
      <c r="O625" s="788"/>
      <c r="P625" s="788"/>
      <c r="Q625" s="789"/>
      <c r="R625" s="789">
        <f>R628</f>
        <v>42584630</v>
      </c>
      <c r="S625" s="789">
        <f>S628</f>
        <v>42584630</v>
      </c>
      <c r="T625" s="789">
        <f>T628</f>
        <v>42584630</v>
      </c>
      <c r="U625" s="538">
        <f t="shared" ref="U625:Z625" si="154">U626+U629</f>
        <v>63905257.280000001</v>
      </c>
      <c r="V625" s="538">
        <f t="shared" si="154"/>
        <v>63905257.280000001</v>
      </c>
      <c r="W625" s="538">
        <f t="shared" si="154"/>
        <v>36207982</v>
      </c>
      <c r="X625" s="538">
        <f t="shared" si="154"/>
        <v>36207982</v>
      </c>
      <c r="Y625" s="538">
        <f t="shared" si="154"/>
        <v>36207982</v>
      </c>
      <c r="Z625" s="538">
        <f t="shared" si="154"/>
        <v>36207982</v>
      </c>
      <c r="AA625" s="911"/>
      <c r="AB625" s="911"/>
      <c r="AC625" s="911"/>
      <c r="AD625" s="911"/>
    </row>
    <row r="626" spans="1:30" s="787" customFormat="1" ht="409.5" customHeight="1">
      <c r="A626" s="957" t="s">
        <v>731</v>
      </c>
      <c r="B626" s="947" t="s">
        <v>22</v>
      </c>
      <c r="C626" s="947" t="s">
        <v>410</v>
      </c>
      <c r="D626" s="947" t="s">
        <v>732</v>
      </c>
      <c r="E626" s="947" t="s">
        <v>25</v>
      </c>
      <c r="F626" s="790" t="s">
        <v>733</v>
      </c>
      <c r="G626" s="947" t="s">
        <v>734</v>
      </c>
      <c r="H626" s="947" t="s">
        <v>28</v>
      </c>
      <c r="I626" s="949" t="s">
        <v>735</v>
      </c>
      <c r="J626" s="791">
        <f>J628</f>
        <v>37939119.799999997</v>
      </c>
      <c r="K626" s="28">
        <v>42452467</v>
      </c>
      <c r="L626" s="72" t="s">
        <v>32</v>
      </c>
      <c r="M626" s="951"/>
      <c r="N626" s="951"/>
      <c r="O626" s="792"/>
      <c r="P626" s="792"/>
      <c r="Q626" s="793"/>
      <c r="R626" s="793"/>
      <c r="S626" s="793"/>
      <c r="T626" s="793"/>
      <c r="U626" s="943">
        <f t="shared" ref="U626:Z626" si="155">U628</f>
        <v>39675218.240000002</v>
      </c>
      <c r="V626" s="943">
        <f t="shared" si="155"/>
        <v>39675218.240000002</v>
      </c>
      <c r="W626" s="943">
        <f t="shared" si="155"/>
        <v>36207982</v>
      </c>
      <c r="X626" s="943">
        <f t="shared" si="155"/>
        <v>36207982</v>
      </c>
      <c r="Y626" s="943">
        <f t="shared" si="155"/>
        <v>36207982</v>
      </c>
      <c r="Z626" s="943">
        <f t="shared" si="155"/>
        <v>36207982</v>
      </c>
      <c r="AA626" s="911"/>
      <c r="AB626" s="911"/>
      <c r="AC626" s="911"/>
      <c r="AD626" s="911"/>
    </row>
    <row r="627" spans="1:30" s="787" customFormat="1" ht="123.75" customHeight="1">
      <c r="A627" s="958"/>
      <c r="B627" s="948"/>
      <c r="C627" s="948"/>
      <c r="D627" s="948"/>
      <c r="E627" s="948"/>
      <c r="F627" s="790"/>
      <c r="G627" s="948"/>
      <c r="H627" s="948"/>
      <c r="I627" s="950"/>
      <c r="J627" s="791"/>
      <c r="K627" s="28"/>
      <c r="L627" s="72"/>
      <c r="M627" s="952"/>
      <c r="N627" s="952"/>
      <c r="O627" s="792"/>
      <c r="P627" s="792"/>
      <c r="Q627" s="793"/>
      <c r="R627" s="793"/>
      <c r="S627" s="793"/>
      <c r="T627" s="793"/>
      <c r="U627" s="944"/>
      <c r="V627" s="944"/>
      <c r="W627" s="944"/>
      <c r="X627" s="944"/>
      <c r="Y627" s="944"/>
      <c r="Z627" s="944"/>
      <c r="AA627" s="911"/>
      <c r="AB627" s="911"/>
      <c r="AC627" s="911"/>
      <c r="AD627" s="911"/>
    </row>
    <row r="628" spans="1:30" s="787" customFormat="1" ht="84" customHeight="1">
      <c r="A628" s="794" t="s">
        <v>51</v>
      </c>
      <c r="B628" s="945"/>
      <c r="C628" s="946"/>
      <c r="D628" s="946"/>
      <c r="E628" s="946"/>
      <c r="F628" s="946"/>
      <c r="G628" s="946"/>
      <c r="H628" s="946"/>
      <c r="I628" s="52" t="s">
        <v>736</v>
      </c>
      <c r="J628" s="795">
        <v>37939119.799999997</v>
      </c>
      <c r="K628" s="795">
        <v>42452467</v>
      </c>
      <c r="L628" s="796" t="s">
        <v>32</v>
      </c>
      <c r="M628" s="52" t="s">
        <v>42</v>
      </c>
      <c r="N628" s="797" t="s">
        <v>737</v>
      </c>
      <c r="O628" s="798">
        <v>208</v>
      </c>
      <c r="P628" s="799">
        <v>204733.8</v>
      </c>
      <c r="Q628" s="800">
        <f>ROUND(O628*P628,0)</f>
        <v>42584630</v>
      </c>
      <c r="R628" s="801">
        <f>Q628</f>
        <v>42584630</v>
      </c>
      <c r="S628" s="800">
        <f>Q628</f>
        <v>42584630</v>
      </c>
      <c r="T628" s="800">
        <f>Q628</f>
        <v>42584630</v>
      </c>
      <c r="U628" s="40">
        <v>39675218.240000002</v>
      </c>
      <c r="V628" s="40">
        <f>U628</f>
        <v>39675218.240000002</v>
      </c>
      <c r="W628" s="40">
        <v>36207982</v>
      </c>
      <c r="X628" s="40">
        <f>W628</f>
        <v>36207982</v>
      </c>
      <c r="Y628" s="40">
        <v>36207982</v>
      </c>
      <c r="Z628" s="40">
        <f>Y628</f>
        <v>36207982</v>
      </c>
      <c r="AA628" s="911"/>
      <c r="AB628" s="911"/>
      <c r="AC628" s="911"/>
      <c r="AD628" s="911"/>
    </row>
    <row r="629" spans="1:30" s="787" customFormat="1" ht="374.25" customHeight="1">
      <c r="A629" s="67" t="s">
        <v>738</v>
      </c>
      <c r="B629" s="802">
        <v>811</v>
      </c>
      <c r="C629" s="803" t="s">
        <v>410</v>
      </c>
      <c r="D629" s="804" t="s">
        <v>739</v>
      </c>
      <c r="E629" s="804">
        <v>612</v>
      </c>
      <c r="F629" s="804"/>
      <c r="G629" s="805" t="s">
        <v>740</v>
      </c>
      <c r="H629" s="804">
        <v>1111</v>
      </c>
      <c r="I629" s="21" t="s">
        <v>741</v>
      </c>
      <c r="J629" s="28"/>
      <c r="K629" s="28"/>
      <c r="L629" s="72"/>
      <c r="M629" s="72"/>
      <c r="N629" s="806"/>
      <c r="O629" s="792"/>
      <c r="P629" s="94"/>
      <c r="Q629" s="793"/>
      <c r="R629" s="807"/>
      <c r="S629" s="793"/>
      <c r="T629" s="793"/>
      <c r="U629" s="143">
        <f t="shared" ref="U629:Z629" si="156">U630</f>
        <v>24230039.039999999</v>
      </c>
      <c r="V629" s="143">
        <f t="shared" si="156"/>
        <v>24230039.039999999</v>
      </c>
      <c r="W629" s="143">
        <f t="shared" si="156"/>
        <v>0</v>
      </c>
      <c r="X629" s="143">
        <f t="shared" si="156"/>
        <v>0</v>
      </c>
      <c r="Y629" s="143">
        <f t="shared" si="156"/>
        <v>0</v>
      </c>
      <c r="Z629" s="143">
        <f t="shared" si="156"/>
        <v>0</v>
      </c>
      <c r="AA629" s="911"/>
      <c r="AB629" s="911"/>
      <c r="AC629" s="911"/>
      <c r="AD629" s="911"/>
    </row>
    <row r="630" spans="1:30" s="787" customFormat="1" ht="110.25" customHeight="1">
      <c r="A630" s="794" t="s">
        <v>51</v>
      </c>
      <c r="B630" s="808"/>
      <c r="C630" s="234"/>
      <c r="D630" s="234"/>
      <c r="E630" s="234"/>
      <c r="F630" s="234"/>
      <c r="G630" s="234"/>
      <c r="H630" s="234"/>
      <c r="I630" s="52" t="s">
        <v>736</v>
      </c>
      <c r="J630" s="795"/>
      <c r="K630" s="795"/>
      <c r="L630" s="796"/>
      <c r="M630" s="52" t="s">
        <v>42</v>
      </c>
      <c r="N630" s="797" t="s">
        <v>737</v>
      </c>
      <c r="O630" s="798"/>
      <c r="P630" s="799"/>
      <c r="Q630" s="800"/>
      <c r="R630" s="801"/>
      <c r="S630" s="800"/>
      <c r="T630" s="800"/>
      <c r="U630" s="40">
        <v>24230039.039999999</v>
      </c>
      <c r="V630" s="40">
        <f>U630</f>
        <v>24230039.039999999</v>
      </c>
      <c r="W630" s="40">
        <v>0</v>
      </c>
      <c r="X630" s="40">
        <v>0</v>
      </c>
      <c r="Y630" s="40">
        <v>0</v>
      </c>
      <c r="Z630" s="40">
        <v>0</v>
      </c>
      <c r="AA630" s="911"/>
      <c r="AB630" s="911"/>
      <c r="AC630" s="911"/>
      <c r="AD630" s="911"/>
    </row>
    <row r="631" spans="1:30" ht="69" customHeight="1">
      <c r="A631" s="932" t="s">
        <v>742</v>
      </c>
      <c r="B631" s="932"/>
      <c r="C631" s="932"/>
      <c r="D631" s="932"/>
      <c r="E631" s="932"/>
      <c r="F631" s="932"/>
      <c r="G631" s="932"/>
      <c r="H631" s="932"/>
      <c r="I631" s="932"/>
      <c r="J631" s="932"/>
      <c r="K631" s="932"/>
      <c r="L631" s="932"/>
      <c r="M631" s="932"/>
      <c r="N631" s="932"/>
      <c r="O631" s="809">
        <f>SUM(O634:O642)</f>
        <v>54</v>
      </c>
      <c r="P631" s="810"/>
      <c r="Q631" s="811">
        <f>SUM(Q634:Q642)</f>
        <v>4874316</v>
      </c>
      <c r="R631" s="811">
        <f>SUM(R634:R642)</f>
        <v>4874316</v>
      </c>
      <c r="S631" s="811">
        <f>SUM(S634:S642)</f>
        <v>6625716</v>
      </c>
      <c r="T631" s="811">
        <f>SUM(T634:T642)</f>
        <v>10945460</v>
      </c>
      <c r="U631" s="812">
        <f t="shared" ref="U631:Z632" si="157">U632</f>
        <v>5295903</v>
      </c>
      <c r="V631" s="812">
        <f t="shared" si="157"/>
        <v>5295903</v>
      </c>
      <c r="W631" s="812">
        <f t="shared" si="157"/>
        <v>0</v>
      </c>
      <c r="X631" s="812">
        <f t="shared" si="157"/>
        <v>0</v>
      </c>
      <c r="Y631" s="812">
        <f t="shared" si="157"/>
        <v>0</v>
      </c>
      <c r="Z631" s="812">
        <f t="shared" si="157"/>
        <v>0</v>
      </c>
    </row>
    <row r="632" spans="1:30" ht="264" customHeight="1">
      <c r="A632" s="813" t="s">
        <v>743</v>
      </c>
      <c r="B632" s="496" t="s">
        <v>22</v>
      </c>
      <c r="C632" s="496" t="s">
        <v>23</v>
      </c>
      <c r="D632" s="496" t="s">
        <v>744</v>
      </c>
      <c r="E632" s="496" t="s">
        <v>25</v>
      </c>
      <c r="F632" s="496" t="s">
        <v>745</v>
      </c>
      <c r="G632" s="496" t="s">
        <v>746</v>
      </c>
      <c r="H632" s="496" t="s">
        <v>28</v>
      </c>
      <c r="I632" s="21" t="s">
        <v>747</v>
      </c>
      <c r="J632" s="814">
        <f>J634</f>
        <v>715778</v>
      </c>
      <c r="K632" s="28">
        <v>1612500</v>
      </c>
      <c r="L632" s="814"/>
      <c r="M632" s="814"/>
      <c r="N632" s="28"/>
      <c r="O632" s="28"/>
      <c r="P632" s="28"/>
      <c r="Q632" s="72"/>
      <c r="R632" s="72"/>
      <c r="S632" s="72"/>
      <c r="T632" s="72"/>
      <c r="U632" s="23">
        <f>U633</f>
        <v>5295903</v>
      </c>
      <c r="V632" s="23">
        <f t="shared" si="157"/>
        <v>5295903</v>
      </c>
      <c r="W632" s="23">
        <f t="shared" si="157"/>
        <v>0</v>
      </c>
      <c r="X632" s="23">
        <f t="shared" si="157"/>
        <v>0</v>
      </c>
      <c r="Y632" s="23">
        <f t="shared" si="157"/>
        <v>0</v>
      </c>
      <c r="Z632" s="23">
        <f t="shared" si="157"/>
        <v>0</v>
      </c>
    </row>
    <row r="633" spans="1:30" ht="36" customHeight="1">
      <c r="A633" s="933" t="s">
        <v>748</v>
      </c>
      <c r="B633" s="815"/>
      <c r="C633" s="816"/>
      <c r="D633" s="816"/>
      <c r="E633" s="816"/>
      <c r="F633" s="816"/>
      <c r="G633" s="816"/>
      <c r="H633" s="817"/>
      <c r="I633" s="935" t="s">
        <v>749</v>
      </c>
      <c r="J633" s="818"/>
      <c r="K633" s="36"/>
      <c r="L633" s="937" t="s">
        <v>750</v>
      </c>
      <c r="M633" s="818"/>
      <c r="N633" s="36"/>
      <c r="O633" s="36"/>
      <c r="P633" s="36"/>
      <c r="Q633" s="54"/>
      <c r="R633" s="54"/>
      <c r="S633" s="54"/>
      <c r="T633" s="54"/>
      <c r="U633" s="819">
        <f>U634+U635+U636+U637+U638+U639+U640+U641+U642+U643</f>
        <v>5295903</v>
      </c>
      <c r="V633" s="819">
        <f>V634+V635+V636+V637+V638+V639+V640+V641+V642+V643</f>
        <v>5295903</v>
      </c>
      <c r="W633" s="819">
        <f>W634+W635+W636+W637+W638+W639+W640+W641+W642</f>
        <v>0</v>
      </c>
      <c r="X633" s="819">
        <f>X634+X635+X636+X637+X638+X639+X640+X641+X642</f>
        <v>0</v>
      </c>
      <c r="Y633" s="819">
        <f>Y634+Y635+Y636+Y637+Y638+Y639+Y640+Y641+Y642</f>
        <v>0</v>
      </c>
      <c r="Z633" s="819">
        <f>Z634+Z635+Z636+Z637+Z638+Z639+Z640+Z641+Z642</f>
        <v>0</v>
      </c>
    </row>
    <row r="634" spans="1:30" s="152" customFormat="1" ht="233.25" customHeight="1">
      <c r="A634" s="934"/>
      <c r="B634" s="820"/>
      <c r="C634" s="821"/>
      <c r="D634" s="821"/>
      <c r="E634" s="821"/>
      <c r="F634" s="821"/>
      <c r="G634" s="821"/>
      <c r="H634" s="822"/>
      <c r="I634" s="936"/>
      <c r="J634" s="938">
        <v>715778</v>
      </c>
      <c r="K634" s="938">
        <v>1612500</v>
      </c>
      <c r="L634" s="937"/>
      <c r="M634" s="621" t="s">
        <v>751</v>
      </c>
      <c r="N634" s="823" t="s">
        <v>98</v>
      </c>
      <c r="O634" s="824">
        <v>1</v>
      </c>
      <c r="P634" s="825">
        <v>2500000</v>
      </c>
      <c r="Q634" s="826">
        <f>O634*P634</f>
        <v>2500000</v>
      </c>
      <c r="R634" s="827">
        <v>2500000</v>
      </c>
      <c r="S634" s="828">
        <v>2500000</v>
      </c>
      <c r="T634" s="828">
        <v>2500000</v>
      </c>
      <c r="U634" s="829">
        <v>2900000</v>
      </c>
      <c r="V634" s="829">
        <f>U634</f>
        <v>2900000</v>
      </c>
      <c r="W634" s="830">
        <v>0</v>
      </c>
      <c r="X634" s="830">
        <f>W634</f>
        <v>0</v>
      </c>
      <c r="Y634" s="830">
        <v>0</v>
      </c>
      <c r="Z634" s="121">
        <f>Y634</f>
        <v>0</v>
      </c>
      <c r="AA634" s="904"/>
      <c r="AB634" s="904"/>
      <c r="AC634" s="904"/>
      <c r="AD634" s="904"/>
    </row>
    <row r="635" spans="1:30" s="152" customFormat="1" ht="103.5" customHeight="1">
      <c r="A635" s="831"/>
      <c r="B635" s="820"/>
      <c r="C635" s="821"/>
      <c r="D635" s="821"/>
      <c r="E635" s="821"/>
      <c r="F635" s="821"/>
      <c r="G635" s="821"/>
      <c r="H635" s="822"/>
      <c r="I635" s="831"/>
      <c r="J635" s="938"/>
      <c r="K635" s="938"/>
      <c r="L635" s="937"/>
      <c r="M635" s="621" t="s">
        <v>752</v>
      </c>
      <c r="N635" s="823" t="s">
        <v>98</v>
      </c>
      <c r="O635" s="824">
        <v>4</v>
      </c>
      <c r="P635" s="825">
        <v>250000</v>
      </c>
      <c r="Q635" s="826">
        <f>O635*P635</f>
        <v>1000000</v>
      </c>
      <c r="R635" s="827">
        <f>Q635</f>
        <v>1000000</v>
      </c>
      <c r="S635" s="828">
        <v>1000000</v>
      </c>
      <c r="T635" s="828">
        <v>1000000</v>
      </c>
      <c r="U635" s="829">
        <v>900000</v>
      </c>
      <c r="V635" s="829">
        <f t="shared" ref="V635:V643" si="158">U635</f>
        <v>900000</v>
      </c>
      <c r="W635" s="830">
        <v>0</v>
      </c>
      <c r="X635" s="830">
        <f t="shared" ref="X635:X642" si="159">W635</f>
        <v>0</v>
      </c>
      <c r="Y635" s="830">
        <v>0</v>
      </c>
      <c r="Z635" s="121">
        <f t="shared" ref="Z635:Z642" si="160">Y635</f>
        <v>0</v>
      </c>
      <c r="AA635" s="904"/>
      <c r="AB635" s="904"/>
      <c r="AC635" s="904"/>
      <c r="AD635" s="904"/>
    </row>
    <row r="636" spans="1:30" s="152" customFormat="1" ht="57.75" customHeight="1">
      <c r="A636" s="831"/>
      <c r="B636" s="820"/>
      <c r="C636" s="821"/>
      <c r="D636" s="821"/>
      <c r="E636" s="821"/>
      <c r="F636" s="821"/>
      <c r="G636" s="821"/>
      <c r="H636" s="822"/>
      <c r="I636" s="831"/>
      <c r="J636" s="938"/>
      <c r="K636" s="938"/>
      <c r="L636" s="937"/>
      <c r="M636" s="621" t="s">
        <v>753</v>
      </c>
      <c r="N636" s="823" t="s">
        <v>98</v>
      </c>
      <c r="O636" s="824">
        <v>2</v>
      </c>
      <c r="P636" s="825">
        <v>4000</v>
      </c>
      <c r="Q636" s="826">
        <f t="shared" ref="Q636:Q642" si="161">O636*P636</f>
        <v>8000</v>
      </c>
      <c r="R636" s="827">
        <f t="shared" ref="R636:R642" si="162">Q636</f>
        <v>8000</v>
      </c>
      <c r="S636" s="828">
        <v>8000</v>
      </c>
      <c r="T636" s="828">
        <v>4000</v>
      </c>
      <c r="U636" s="829">
        <v>8000</v>
      </c>
      <c r="V636" s="829">
        <f t="shared" si="158"/>
        <v>8000</v>
      </c>
      <c r="W636" s="830">
        <v>0</v>
      </c>
      <c r="X636" s="830">
        <f t="shared" si="159"/>
        <v>0</v>
      </c>
      <c r="Y636" s="830">
        <v>0</v>
      </c>
      <c r="Z636" s="121">
        <f t="shared" si="160"/>
        <v>0</v>
      </c>
      <c r="AA636" s="904"/>
      <c r="AB636" s="904"/>
      <c r="AC636" s="904"/>
      <c r="AD636" s="904"/>
    </row>
    <row r="637" spans="1:30" s="152" customFormat="1" ht="50.25" customHeight="1">
      <c r="A637" s="831"/>
      <c r="B637" s="820"/>
      <c r="C637" s="821"/>
      <c r="D637" s="821"/>
      <c r="E637" s="821"/>
      <c r="F637" s="821"/>
      <c r="G637" s="821"/>
      <c r="H637" s="822"/>
      <c r="I637" s="831"/>
      <c r="J637" s="938"/>
      <c r="K637" s="938"/>
      <c r="L637" s="937"/>
      <c r="M637" s="621" t="s">
        <v>754</v>
      </c>
      <c r="N637" s="823" t="s">
        <v>98</v>
      </c>
      <c r="O637" s="824">
        <v>1</v>
      </c>
      <c r="P637" s="825">
        <v>2000</v>
      </c>
      <c r="Q637" s="826">
        <f t="shared" si="161"/>
        <v>2000</v>
      </c>
      <c r="R637" s="827">
        <f t="shared" si="162"/>
        <v>2000</v>
      </c>
      <c r="S637" s="828">
        <v>6000</v>
      </c>
      <c r="T637" s="828">
        <v>6000</v>
      </c>
      <c r="U637" s="829">
        <v>2000</v>
      </c>
      <c r="V637" s="829">
        <f t="shared" si="158"/>
        <v>2000</v>
      </c>
      <c r="W637" s="830">
        <v>0</v>
      </c>
      <c r="X637" s="830">
        <f t="shared" si="159"/>
        <v>0</v>
      </c>
      <c r="Y637" s="830">
        <v>0</v>
      </c>
      <c r="Z637" s="121">
        <f t="shared" si="160"/>
        <v>0</v>
      </c>
      <c r="AA637" s="904"/>
      <c r="AB637" s="904"/>
      <c r="AC637" s="904"/>
      <c r="AD637" s="904"/>
    </row>
    <row r="638" spans="1:30" s="152" customFormat="1" ht="209.25" customHeight="1">
      <c r="A638" s="831"/>
      <c r="B638" s="820"/>
      <c r="C638" s="821"/>
      <c r="D638" s="821"/>
      <c r="E638" s="821"/>
      <c r="F638" s="821"/>
      <c r="G638" s="821"/>
      <c r="H638" s="822"/>
      <c r="I638" s="831"/>
      <c r="J638" s="938"/>
      <c r="K638" s="938"/>
      <c r="L638" s="937"/>
      <c r="M638" s="621" t="s">
        <v>755</v>
      </c>
      <c r="N638" s="823" t="s">
        <v>98</v>
      </c>
      <c r="O638" s="832">
        <v>3</v>
      </c>
      <c r="P638" s="833">
        <v>80000</v>
      </c>
      <c r="Q638" s="827">
        <f t="shared" si="161"/>
        <v>240000</v>
      </c>
      <c r="R638" s="827">
        <f t="shared" si="162"/>
        <v>240000</v>
      </c>
      <c r="S638" s="827">
        <v>800000</v>
      </c>
      <c r="T638" s="834">
        <v>880000</v>
      </c>
      <c r="U638" s="121">
        <v>420000</v>
      </c>
      <c r="V638" s="829">
        <f t="shared" si="158"/>
        <v>420000</v>
      </c>
      <c r="W638" s="830">
        <v>0</v>
      </c>
      <c r="X638" s="830">
        <f t="shared" si="159"/>
        <v>0</v>
      </c>
      <c r="Y638" s="830">
        <v>0</v>
      </c>
      <c r="Z638" s="121">
        <f t="shared" si="160"/>
        <v>0</v>
      </c>
      <c r="AA638" s="904"/>
      <c r="AB638" s="904"/>
      <c r="AC638" s="904"/>
      <c r="AD638" s="904"/>
    </row>
    <row r="639" spans="1:30" s="152" customFormat="1" ht="90.75" customHeight="1">
      <c r="A639" s="831"/>
      <c r="B639" s="820"/>
      <c r="C639" s="821"/>
      <c r="D639" s="821"/>
      <c r="E639" s="821"/>
      <c r="F639" s="821"/>
      <c r="G639" s="821"/>
      <c r="H639" s="822"/>
      <c r="I639" s="831"/>
      <c r="J639" s="938"/>
      <c r="K639" s="938"/>
      <c r="L639" s="937"/>
      <c r="M639" s="621" t="s">
        <v>756</v>
      </c>
      <c r="N639" s="823" t="s">
        <v>98</v>
      </c>
      <c r="O639" s="832">
        <v>3</v>
      </c>
      <c r="P639" s="833">
        <v>100000</v>
      </c>
      <c r="Q639" s="827">
        <f t="shared" si="161"/>
        <v>300000</v>
      </c>
      <c r="R639" s="827">
        <f t="shared" si="162"/>
        <v>300000</v>
      </c>
      <c r="S639" s="827">
        <v>1360000</v>
      </c>
      <c r="T639" s="834">
        <v>2660000</v>
      </c>
      <c r="U639" s="121">
        <v>120000</v>
      </c>
      <c r="V639" s="829">
        <f t="shared" si="158"/>
        <v>120000</v>
      </c>
      <c r="W639" s="830">
        <v>0</v>
      </c>
      <c r="X639" s="830">
        <f t="shared" si="159"/>
        <v>0</v>
      </c>
      <c r="Y639" s="830">
        <v>0</v>
      </c>
      <c r="Z639" s="121">
        <f t="shared" si="160"/>
        <v>0</v>
      </c>
      <c r="AA639" s="904"/>
      <c r="AB639" s="904"/>
      <c r="AC639" s="904"/>
      <c r="AD639" s="904"/>
    </row>
    <row r="640" spans="1:30" s="152" customFormat="1" ht="160.5" customHeight="1">
      <c r="A640" s="940"/>
      <c r="B640" s="941"/>
      <c r="C640" s="941"/>
      <c r="D640" s="941"/>
      <c r="E640" s="941"/>
      <c r="F640" s="941"/>
      <c r="G640" s="941"/>
      <c r="H640" s="941"/>
      <c r="I640" s="940"/>
      <c r="J640" s="939"/>
      <c r="K640" s="938"/>
      <c r="L640" s="937"/>
      <c r="M640" s="621" t="s">
        <v>757</v>
      </c>
      <c r="N640" s="823" t="s">
        <v>98</v>
      </c>
      <c r="O640" s="832">
        <v>37</v>
      </c>
      <c r="P640" s="833">
        <v>9800</v>
      </c>
      <c r="Q640" s="827">
        <f t="shared" si="161"/>
        <v>362600</v>
      </c>
      <c r="R640" s="827">
        <f t="shared" si="162"/>
        <v>362600</v>
      </c>
      <c r="S640" s="827">
        <v>490000</v>
      </c>
      <c r="T640" s="834">
        <v>3704400</v>
      </c>
      <c r="U640" s="121">
        <v>362600</v>
      </c>
      <c r="V640" s="829">
        <f t="shared" si="158"/>
        <v>362600</v>
      </c>
      <c r="W640" s="830">
        <v>0</v>
      </c>
      <c r="X640" s="830">
        <f t="shared" si="159"/>
        <v>0</v>
      </c>
      <c r="Y640" s="830">
        <v>0</v>
      </c>
      <c r="Z640" s="121">
        <f t="shared" si="160"/>
        <v>0</v>
      </c>
      <c r="AA640" s="904"/>
      <c r="AB640" s="904"/>
      <c r="AC640" s="904"/>
      <c r="AD640" s="904"/>
    </row>
    <row r="641" spans="1:30" s="152" customFormat="1" ht="21" customHeight="1">
      <c r="A641" s="940"/>
      <c r="B641" s="941"/>
      <c r="C641" s="941"/>
      <c r="D641" s="941"/>
      <c r="E641" s="941"/>
      <c r="F641" s="941"/>
      <c r="G641" s="941"/>
      <c r="H641" s="941"/>
      <c r="I641" s="940"/>
      <c r="J641" s="942"/>
      <c r="K641" s="924">
        <v>0</v>
      </c>
      <c r="L641" s="925"/>
      <c r="M641" s="621" t="s">
        <v>758</v>
      </c>
      <c r="N641" s="823" t="s">
        <v>98</v>
      </c>
      <c r="O641" s="832">
        <v>2</v>
      </c>
      <c r="P641" s="833">
        <v>191060</v>
      </c>
      <c r="Q641" s="827">
        <f t="shared" si="161"/>
        <v>382120</v>
      </c>
      <c r="R641" s="827">
        <f t="shared" si="162"/>
        <v>382120</v>
      </c>
      <c r="S641" s="827">
        <v>382120</v>
      </c>
      <c r="T641" s="834">
        <v>191060</v>
      </c>
      <c r="U641" s="835">
        <v>403707</v>
      </c>
      <c r="V641" s="829">
        <f t="shared" si="158"/>
        <v>403707</v>
      </c>
      <c r="W641" s="830">
        <v>0</v>
      </c>
      <c r="X641" s="830">
        <f t="shared" si="159"/>
        <v>0</v>
      </c>
      <c r="Y641" s="830">
        <v>0</v>
      </c>
      <c r="Z641" s="121">
        <f t="shared" si="160"/>
        <v>0</v>
      </c>
      <c r="AA641" s="904"/>
      <c r="AB641" s="904"/>
      <c r="AC641" s="904"/>
      <c r="AD641" s="904"/>
    </row>
    <row r="642" spans="1:30" s="152" customFormat="1" ht="113.25" customHeight="1">
      <c r="A642" s="940"/>
      <c r="B642" s="941"/>
      <c r="C642" s="941"/>
      <c r="D642" s="941"/>
      <c r="E642" s="941"/>
      <c r="F642" s="941"/>
      <c r="G642" s="941"/>
      <c r="H642" s="941"/>
      <c r="I642" s="940"/>
      <c r="J642" s="942"/>
      <c r="K642" s="924"/>
      <c r="L642" s="925"/>
      <c r="M642" s="621" t="s">
        <v>759</v>
      </c>
      <c r="N642" s="823" t="s">
        <v>98</v>
      </c>
      <c r="O642" s="833">
        <v>1</v>
      </c>
      <c r="P642" s="833">
        <v>79596</v>
      </c>
      <c r="Q642" s="827">
        <f t="shared" si="161"/>
        <v>79596</v>
      </c>
      <c r="R642" s="827">
        <f t="shared" si="162"/>
        <v>79596</v>
      </c>
      <c r="S642" s="827">
        <v>79596</v>
      </c>
      <c r="T642" s="827">
        <v>0</v>
      </c>
      <c r="U642" s="121">
        <v>79596</v>
      </c>
      <c r="V642" s="829">
        <f t="shared" si="158"/>
        <v>79596</v>
      </c>
      <c r="W642" s="830">
        <v>0</v>
      </c>
      <c r="X642" s="830">
        <f t="shared" si="159"/>
        <v>0</v>
      </c>
      <c r="Y642" s="830">
        <v>0</v>
      </c>
      <c r="Z642" s="121">
        <f t="shared" si="160"/>
        <v>0</v>
      </c>
      <c r="AA642" s="904"/>
      <c r="AB642" s="904"/>
      <c r="AC642" s="904"/>
      <c r="AD642" s="904"/>
    </row>
    <row r="643" spans="1:30" s="152" customFormat="1" ht="60" customHeight="1">
      <c r="A643" s="940"/>
      <c r="B643" s="941"/>
      <c r="C643" s="941"/>
      <c r="D643" s="941"/>
      <c r="E643" s="941"/>
      <c r="F643" s="941"/>
      <c r="G643" s="941"/>
      <c r="H643" s="941"/>
      <c r="I643" s="940"/>
      <c r="J643" s="836"/>
      <c r="K643" s="837"/>
      <c r="L643" s="838"/>
      <c r="M643" s="839" t="s">
        <v>760</v>
      </c>
      <c r="N643" s="823"/>
      <c r="O643" s="833"/>
      <c r="P643" s="833"/>
      <c r="Q643" s="827"/>
      <c r="R643" s="827"/>
      <c r="S643" s="827"/>
      <c r="T643" s="827"/>
      <c r="U643" s="121">
        <v>100000</v>
      </c>
      <c r="V643" s="829">
        <f t="shared" si="158"/>
        <v>100000</v>
      </c>
      <c r="W643" s="830">
        <v>0</v>
      </c>
      <c r="X643" s="830">
        <v>0</v>
      </c>
      <c r="Y643" s="830">
        <v>0</v>
      </c>
      <c r="Z643" s="121">
        <v>0</v>
      </c>
      <c r="AA643" s="904"/>
      <c r="AB643" s="904"/>
      <c r="AC643" s="904"/>
      <c r="AD643" s="904"/>
    </row>
    <row r="644" spans="1:30" ht="69.75" customHeight="1">
      <c r="A644" s="926" t="s">
        <v>18</v>
      </c>
      <c r="B644" s="927"/>
      <c r="C644" s="927"/>
      <c r="D644" s="927"/>
      <c r="E644" s="927"/>
      <c r="F644" s="927"/>
      <c r="G644" s="927"/>
      <c r="H644" s="927"/>
      <c r="I644" s="927"/>
      <c r="J644" s="927"/>
      <c r="K644" s="927"/>
      <c r="L644" s="927"/>
      <c r="M644" s="928"/>
      <c r="N644" s="840"/>
      <c r="O644" s="841"/>
      <c r="P644" s="841"/>
      <c r="Q644" s="842" t="e">
        <f>#REF!+Q645+Q647</f>
        <v>#REF!</v>
      </c>
      <c r="R644" s="842" t="e">
        <f>#REF!+R645+R647</f>
        <v>#REF!</v>
      </c>
      <c r="S644" s="842" t="e">
        <f>#REF!+S645+S647</f>
        <v>#REF!</v>
      </c>
      <c r="T644" s="842" t="e">
        <f>#REF!+T645+T647</f>
        <v>#REF!</v>
      </c>
      <c r="U644" s="842">
        <f t="shared" ref="U644:Z644" si="163">U645+U647</f>
        <v>150000</v>
      </c>
      <c r="V644" s="842">
        <f t="shared" si="163"/>
        <v>150000</v>
      </c>
      <c r="W644" s="842">
        <f t="shared" si="163"/>
        <v>0</v>
      </c>
      <c r="X644" s="842">
        <f t="shared" si="163"/>
        <v>0</v>
      </c>
      <c r="Y644" s="842">
        <f t="shared" si="163"/>
        <v>0</v>
      </c>
      <c r="Z644" s="842">
        <f t="shared" si="163"/>
        <v>0</v>
      </c>
    </row>
    <row r="645" spans="1:30" ht="409.5" customHeight="1">
      <c r="A645" s="425" t="s">
        <v>761</v>
      </c>
      <c r="B645" s="843" t="s">
        <v>22</v>
      </c>
      <c r="C645" s="843" t="s">
        <v>23</v>
      </c>
      <c r="D645" s="843" t="s">
        <v>762</v>
      </c>
      <c r="E645" s="843" t="s">
        <v>25</v>
      </c>
      <c r="F645" s="843" t="s">
        <v>763</v>
      </c>
      <c r="G645" s="843" t="s">
        <v>764</v>
      </c>
      <c r="H645" s="843" t="s">
        <v>28</v>
      </c>
      <c r="I645" s="190" t="s">
        <v>765</v>
      </c>
      <c r="J645" s="189">
        <v>50000</v>
      </c>
      <c r="K645" s="622">
        <v>37500</v>
      </c>
      <c r="L645" s="844"/>
      <c r="M645" s="844"/>
      <c r="N645" s="412"/>
      <c r="O645" s="845"/>
      <c r="P645" s="845"/>
      <c r="Q645" s="622">
        <f t="shared" ref="Q645:Z645" si="164">Q646</f>
        <v>122000</v>
      </c>
      <c r="R645" s="622">
        <f t="shared" si="164"/>
        <v>122000</v>
      </c>
      <c r="S645" s="622">
        <f t="shared" si="164"/>
        <v>122000</v>
      </c>
      <c r="T645" s="622">
        <f t="shared" si="164"/>
        <v>122000</v>
      </c>
      <c r="U645" s="627">
        <f t="shared" si="164"/>
        <v>50000</v>
      </c>
      <c r="V645" s="627">
        <f t="shared" si="164"/>
        <v>50000</v>
      </c>
      <c r="W645" s="627">
        <f t="shared" si="164"/>
        <v>0</v>
      </c>
      <c r="X645" s="627">
        <f t="shared" si="164"/>
        <v>0</v>
      </c>
      <c r="Y645" s="627">
        <f t="shared" si="164"/>
        <v>0</v>
      </c>
      <c r="Z645" s="627">
        <f t="shared" si="164"/>
        <v>0</v>
      </c>
    </row>
    <row r="646" spans="1:30" ht="132" customHeight="1">
      <c r="A646" s="233" t="s">
        <v>766</v>
      </c>
      <c r="B646" s="929"/>
      <c r="C646" s="929"/>
      <c r="D646" s="929"/>
      <c r="E646" s="929"/>
      <c r="F646" s="929"/>
      <c r="G646" s="929"/>
      <c r="H646" s="929"/>
      <c r="I646" s="415" t="s">
        <v>767</v>
      </c>
      <c r="J646" s="846">
        <v>50000</v>
      </c>
      <c r="K646" s="847">
        <v>37500</v>
      </c>
      <c r="L646" s="848" t="s">
        <v>768</v>
      </c>
      <c r="M646" s="415" t="s">
        <v>769</v>
      </c>
      <c r="N646" s="418" t="s">
        <v>98</v>
      </c>
      <c r="O646" s="849">
        <v>6100</v>
      </c>
      <c r="P646" s="849">
        <v>20</v>
      </c>
      <c r="Q646" s="847">
        <f>O646*P646</f>
        <v>122000</v>
      </c>
      <c r="R646" s="850">
        <f>Q646</f>
        <v>122000</v>
      </c>
      <c r="S646" s="850">
        <f>R646</f>
        <v>122000</v>
      </c>
      <c r="T646" s="850">
        <f>S646</f>
        <v>122000</v>
      </c>
      <c r="U646" s="40">
        <v>50000</v>
      </c>
      <c r="V646" s="40">
        <f>U646</f>
        <v>50000</v>
      </c>
      <c r="W646" s="40">
        <v>0</v>
      </c>
      <c r="X646" s="40">
        <v>0</v>
      </c>
      <c r="Y646" s="40">
        <f>X646</f>
        <v>0</v>
      </c>
      <c r="Z646" s="40">
        <f>Y646</f>
        <v>0</v>
      </c>
    </row>
    <row r="647" spans="1:30" ht="409.5" customHeight="1">
      <c r="A647" s="851" t="s">
        <v>761</v>
      </c>
      <c r="B647" s="852" t="s">
        <v>22</v>
      </c>
      <c r="C647" s="852" t="s">
        <v>23</v>
      </c>
      <c r="D647" s="852" t="s">
        <v>770</v>
      </c>
      <c r="E647" s="852" t="s">
        <v>25</v>
      </c>
      <c r="F647" s="852" t="s">
        <v>763</v>
      </c>
      <c r="G647" s="852" t="s">
        <v>764</v>
      </c>
      <c r="H647" s="852" t="s">
        <v>28</v>
      </c>
      <c r="I647" s="853" t="s">
        <v>771</v>
      </c>
      <c r="J647" s="579">
        <v>110000</v>
      </c>
      <c r="K647" s="622">
        <v>82500</v>
      </c>
      <c r="L647" s="854"/>
      <c r="M647" s="854"/>
      <c r="N647" s="855"/>
      <c r="O647" s="845"/>
      <c r="P647" s="845"/>
      <c r="Q647" s="622" t="e">
        <f>Q648+#REF!</f>
        <v>#REF!</v>
      </c>
      <c r="R647" s="622" t="e">
        <f>R648+#REF!</f>
        <v>#REF!</v>
      </c>
      <c r="S647" s="622" t="e">
        <f>S648+#REF!</f>
        <v>#REF!</v>
      </c>
      <c r="T647" s="622" t="e">
        <f>T648+#REF!</f>
        <v>#REF!</v>
      </c>
      <c r="U647" s="627">
        <f t="shared" ref="U647:Z647" si="165">U648</f>
        <v>100000</v>
      </c>
      <c r="V647" s="627">
        <f t="shared" si="165"/>
        <v>100000</v>
      </c>
      <c r="W647" s="627">
        <f t="shared" si="165"/>
        <v>0</v>
      </c>
      <c r="X647" s="627">
        <f t="shared" si="165"/>
        <v>0</v>
      </c>
      <c r="Y647" s="627">
        <f t="shared" si="165"/>
        <v>0</v>
      </c>
      <c r="Z647" s="627">
        <f t="shared" si="165"/>
        <v>0</v>
      </c>
    </row>
    <row r="648" spans="1:30" ht="197.25" customHeight="1">
      <c r="A648" s="233" t="s">
        <v>766</v>
      </c>
      <c r="B648" s="930"/>
      <c r="C648" s="930"/>
      <c r="D648" s="930"/>
      <c r="E648" s="930"/>
      <c r="F648" s="930"/>
      <c r="G648" s="930"/>
      <c r="H648" s="930"/>
      <c r="I648" s="415" t="s">
        <v>772</v>
      </c>
      <c r="J648" s="846">
        <v>110000</v>
      </c>
      <c r="K648" s="856">
        <v>82500</v>
      </c>
      <c r="L648" s="848" t="s">
        <v>32</v>
      </c>
      <c r="M648" s="857" t="s">
        <v>773</v>
      </c>
      <c r="N648" s="418" t="s">
        <v>98</v>
      </c>
      <c r="O648" s="858">
        <v>15000</v>
      </c>
      <c r="P648" s="859">
        <v>29</v>
      </c>
      <c r="Q648" s="661">
        <f>O648*P648</f>
        <v>435000</v>
      </c>
      <c r="R648" s="850">
        <f>Q648</f>
        <v>435000</v>
      </c>
      <c r="S648" s="850">
        <f>R648</f>
        <v>435000</v>
      </c>
      <c r="T648" s="850">
        <f>S648</f>
        <v>435000</v>
      </c>
      <c r="U648" s="40">
        <v>100000</v>
      </c>
      <c r="V648" s="40">
        <f>U648</f>
        <v>100000</v>
      </c>
      <c r="W648" s="40">
        <v>0</v>
      </c>
      <c r="X648" s="40">
        <v>0</v>
      </c>
      <c r="Y648" s="40">
        <v>0</v>
      </c>
      <c r="Z648" s="40">
        <v>0</v>
      </c>
    </row>
    <row r="649" spans="1:30" ht="63.75" customHeight="1">
      <c r="A649" s="931" t="s">
        <v>19</v>
      </c>
      <c r="B649" s="931"/>
      <c r="C649" s="931"/>
      <c r="D649" s="931"/>
      <c r="E649" s="931"/>
      <c r="F649" s="931"/>
      <c r="G649" s="931"/>
      <c r="H649" s="931"/>
      <c r="I649" s="931"/>
      <c r="J649" s="931"/>
      <c r="K649" s="931"/>
      <c r="L649" s="931"/>
      <c r="M649" s="931"/>
      <c r="N649" s="860"/>
      <c r="O649" s="861"/>
      <c r="P649" s="861"/>
      <c r="Q649" s="861"/>
      <c r="R649" s="861"/>
      <c r="S649" s="861"/>
      <c r="T649" s="861"/>
      <c r="U649" s="862">
        <f t="shared" ref="U649:Z649" si="166">U650+U660+U683</f>
        <v>5186800</v>
      </c>
      <c r="V649" s="862">
        <f t="shared" si="166"/>
        <v>5186800</v>
      </c>
      <c r="W649" s="862">
        <f t="shared" si="166"/>
        <v>0</v>
      </c>
      <c r="X649" s="862">
        <f t="shared" si="166"/>
        <v>0</v>
      </c>
      <c r="Y649" s="862">
        <f t="shared" si="166"/>
        <v>0</v>
      </c>
      <c r="Z649" s="862">
        <f t="shared" si="166"/>
        <v>0</v>
      </c>
    </row>
    <row r="650" spans="1:30" ht="243" customHeight="1">
      <c r="A650" s="863" t="s">
        <v>774</v>
      </c>
      <c r="B650" s="864" t="s">
        <v>22</v>
      </c>
      <c r="C650" s="864" t="s">
        <v>410</v>
      </c>
      <c r="D650" s="864" t="s">
        <v>775</v>
      </c>
      <c r="E650" s="864" t="s">
        <v>25</v>
      </c>
      <c r="F650" s="864"/>
      <c r="G650" s="865" t="s">
        <v>776</v>
      </c>
      <c r="H650" s="864" t="s">
        <v>28</v>
      </c>
      <c r="I650" s="863" t="s">
        <v>777</v>
      </c>
      <c r="J650" s="864"/>
      <c r="K650" s="864"/>
      <c r="L650" s="864"/>
      <c r="M650" s="864"/>
      <c r="N650" s="866"/>
      <c r="O650" s="864"/>
      <c r="P650" s="864"/>
      <c r="Q650" s="864"/>
      <c r="R650" s="864"/>
      <c r="S650" s="864"/>
      <c r="T650" s="864"/>
      <c r="U650" s="867">
        <f t="shared" ref="U650:Z650" si="167">U651+U652+U653+U655+U656+U658+U659+U654+U657</f>
        <v>1660200</v>
      </c>
      <c r="V650" s="867">
        <f t="shared" si="167"/>
        <v>1660200</v>
      </c>
      <c r="W650" s="867">
        <f t="shared" si="167"/>
        <v>0</v>
      </c>
      <c r="X650" s="867">
        <f t="shared" si="167"/>
        <v>0</v>
      </c>
      <c r="Y650" s="867">
        <f t="shared" si="167"/>
        <v>0</v>
      </c>
      <c r="Z650" s="867">
        <f t="shared" si="167"/>
        <v>0</v>
      </c>
    </row>
    <row r="651" spans="1:30" ht="100.5" customHeight="1">
      <c r="A651" s="868" t="s">
        <v>187</v>
      </c>
      <c r="B651" s="913"/>
      <c r="C651" s="913"/>
      <c r="D651" s="913"/>
      <c r="E651" s="913"/>
      <c r="F651" s="913"/>
      <c r="G651" s="913"/>
      <c r="H651" s="913"/>
      <c r="I651" s="869" t="s">
        <v>778</v>
      </c>
      <c r="J651" s="870"/>
      <c r="K651" s="871"/>
      <c r="L651" s="913"/>
      <c r="M651" s="872"/>
      <c r="N651" s="873"/>
      <c r="O651" s="871"/>
      <c r="P651" s="871"/>
      <c r="Q651" s="874"/>
      <c r="R651" s="874"/>
      <c r="S651" s="874"/>
      <c r="T651" s="874"/>
      <c r="U651" s="875">
        <v>90000</v>
      </c>
      <c r="V651" s="876">
        <f>U651</f>
        <v>90000</v>
      </c>
      <c r="W651" s="877">
        <v>0</v>
      </c>
      <c r="X651" s="877">
        <f>W651</f>
        <v>0</v>
      </c>
      <c r="Y651" s="877">
        <v>0</v>
      </c>
      <c r="Z651" s="40">
        <f>Y651</f>
        <v>0</v>
      </c>
    </row>
    <row r="652" spans="1:30" ht="123.75" customHeight="1">
      <c r="A652" s="868" t="s">
        <v>417</v>
      </c>
      <c r="B652" s="913"/>
      <c r="C652" s="913"/>
      <c r="D652" s="913"/>
      <c r="E652" s="913"/>
      <c r="F652" s="913"/>
      <c r="G652" s="913"/>
      <c r="H652" s="913"/>
      <c r="I652" s="869" t="s">
        <v>779</v>
      </c>
      <c r="J652" s="870"/>
      <c r="K652" s="871"/>
      <c r="L652" s="913"/>
      <c r="M652" s="872"/>
      <c r="N652" s="873"/>
      <c r="O652" s="871"/>
      <c r="P652" s="871"/>
      <c r="Q652" s="874"/>
      <c r="R652" s="874"/>
      <c r="S652" s="874"/>
      <c r="T652" s="874"/>
      <c r="U652" s="875">
        <v>402700</v>
      </c>
      <c r="V652" s="876">
        <f t="shared" ref="V652:V659" si="168">U652</f>
        <v>402700</v>
      </c>
      <c r="W652" s="877">
        <v>0</v>
      </c>
      <c r="X652" s="877">
        <f t="shared" ref="X652:X659" si="169">W652</f>
        <v>0</v>
      </c>
      <c r="Y652" s="877">
        <v>0</v>
      </c>
      <c r="Z652" s="40">
        <f t="shared" ref="Z652:Z659" si="170">Y652</f>
        <v>0</v>
      </c>
      <c r="AA652" s="905"/>
    </row>
    <row r="653" spans="1:30" ht="65.25" customHeight="1">
      <c r="A653" s="914" t="s">
        <v>189</v>
      </c>
      <c r="B653" s="913"/>
      <c r="C653" s="913"/>
      <c r="D653" s="913"/>
      <c r="E653" s="913"/>
      <c r="F653" s="913"/>
      <c r="G653" s="913"/>
      <c r="H653" s="913"/>
      <c r="I653" s="621" t="s">
        <v>780</v>
      </c>
      <c r="J653" s="870"/>
      <c r="K653" s="871"/>
      <c r="L653" s="913"/>
      <c r="M653" s="872"/>
      <c r="N653" s="873"/>
      <c r="O653" s="871"/>
      <c r="P653" s="871"/>
      <c r="Q653" s="874"/>
      <c r="R653" s="874"/>
      <c r="S653" s="874"/>
      <c r="T653" s="874"/>
      <c r="U653" s="875">
        <v>60000</v>
      </c>
      <c r="V653" s="876">
        <f t="shared" si="168"/>
        <v>60000</v>
      </c>
      <c r="W653" s="877">
        <v>0</v>
      </c>
      <c r="X653" s="877">
        <f t="shared" si="169"/>
        <v>0</v>
      </c>
      <c r="Y653" s="877">
        <v>0</v>
      </c>
      <c r="Z653" s="40">
        <f t="shared" si="170"/>
        <v>0</v>
      </c>
    </row>
    <row r="654" spans="1:30" ht="84" customHeight="1">
      <c r="A654" s="914"/>
      <c r="B654" s="913"/>
      <c r="C654" s="913"/>
      <c r="D654" s="913"/>
      <c r="E654" s="913"/>
      <c r="F654" s="913"/>
      <c r="G654" s="913"/>
      <c r="H654" s="913"/>
      <c r="I654" s="621" t="s">
        <v>781</v>
      </c>
      <c r="J654" s="870"/>
      <c r="K654" s="871"/>
      <c r="L654" s="913"/>
      <c r="M654" s="872"/>
      <c r="N654" s="873"/>
      <c r="O654" s="871"/>
      <c r="P654" s="871"/>
      <c r="Q654" s="874"/>
      <c r="R654" s="874"/>
      <c r="S654" s="874"/>
      <c r="T654" s="874"/>
      <c r="U654" s="875">
        <v>140000</v>
      </c>
      <c r="V654" s="876">
        <f t="shared" si="168"/>
        <v>140000</v>
      </c>
      <c r="W654" s="877">
        <v>0</v>
      </c>
      <c r="X654" s="877">
        <f t="shared" si="169"/>
        <v>0</v>
      </c>
      <c r="Y654" s="877">
        <v>0</v>
      </c>
      <c r="Z654" s="40">
        <f t="shared" si="170"/>
        <v>0</v>
      </c>
    </row>
    <row r="655" spans="1:30" ht="82.5" customHeight="1">
      <c r="A655" s="868" t="s">
        <v>782</v>
      </c>
      <c r="B655" s="913"/>
      <c r="C655" s="913"/>
      <c r="D655" s="913"/>
      <c r="E655" s="913"/>
      <c r="F655" s="913"/>
      <c r="G655" s="913"/>
      <c r="H655" s="913"/>
      <c r="I655" s="621" t="s">
        <v>783</v>
      </c>
      <c r="J655" s="870"/>
      <c r="K655" s="871"/>
      <c r="L655" s="913"/>
      <c r="M655" s="872"/>
      <c r="N655" s="873"/>
      <c r="O655" s="871"/>
      <c r="P655" s="871"/>
      <c r="Q655" s="874"/>
      <c r="R655" s="874"/>
      <c r="S655" s="874"/>
      <c r="T655" s="874"/>
      <c r="U655" s="875">
        <v>400000</v>
      </c>
      <c r="V655" s="876">
        <f t="shared" si="168"/>
        <v>400000</v>
      </c>
      <c r="W655" s="877">
        <v>0</v>
      </c>
      <c r="X655" s="877">
        <f t="shared" si="169"/>
        <v>0</v>
      </c>
      <c r="Y655" s="877">
        <v>0</v>
      </c>
      <c r="Z655" s="40">
        <f t="shared" si="170"/>
        <v>0</v>
      </c>
    </row>
    <row r="656" spans="1:30" ht="63" customHeight="1">
      <c r="A656" s="914" t="s">
        <v>359</v>
      </c>
      <c r="B656" s="913"/>
      <c r="C656" s="913"/>
      <c r="D656" s="913"/>
      <c r="E656" s="913"/>
      <c r="F656" s="913"/>
      <c r="G656" s="913"/>
      <c r="H656" s="913"/>
      <c r="I656" s="869" t="s">
        <v>784</v>
      </c>
      <c r="J656" s="870"/>
      <c r="K656" s="871"/>
      <c r="L656" s="913"/>
      <c r="M656" s="872"/>
      <c r="N656" s="873"/>
      <c r="O656" s="871"/>
      <c r="P656" s="871"/>
      <c r="Q656" s="874"/>
      <c r="R656" s="874"/>
      <c r="S656" s="874"/>
      <c r="T656" s="874"/>
      <c r="U656" s="875">
        <v>200000</v>
      </c>
      <c r="V656" s="876">
        <f t="shared" si="168"/>
        <v>200000</v>
      </c>
      <c r="W656" s="877">
        <v>0</v>
      </c>
      <c r="X656" s="877">
        <f t="shared" si="169"/>
        <v>0</v>
      </c>
      <c r="Y656" s="877">
        <v>0</v>
      </c>
      <c r="Z656" s="40">
        <f t="shared" si="170"/>
        <v>0</v>
      </c>
    </row>
    <row r="657" spans="1:27" ht="62.25" customHeight="1">
      <c r="A657" s="914"/>
      <c r="B657" s="913"/>
      <c r="C657" s="913"/>
      <c r="D657" s="913"/>
      <c r="E657" s="913"/>
      <c r="F657" s="913"/>
      <c r="G657" s="913"/>
      <c r="H657" s="913"/>
      <c r="I657" s="869" t="s">
        <v>785</v>
      </c>
      <c r="J657" s="870"/>
      <c r="K657" s="871"/>
      <c r="L657" s="913"/>
      <c r="M657" s="872"/>
      <c r="N657" s="873"/>
      <c r="O657" s="871"/>
      <c r="P657" s="871"/>
      <c r="Q657" s="874"/>
      <c r="R657" s="874"/>
      <c r="S657" s="874"/>
      <c r="T657" s="874"/>
      <c r="U657" s="875">
        <v>110000</v>
      </c>
      <c r="V657" s="876">
        <f t="shared" si="168"/>
        <v>110000</v>
      </c>
      <c r="W657" s="877">
        <v>0</v>
      </c>
      <c r="X657" s="877">
        <f t="shared" si="169"/>
        <v>0</v>
      </c>
      <c r="Y657" s="877">
        <v>0</v>
      </c>
      <c r="Z657" s="40">
        <f t="shared" si="170"/>
        <v>0</v>
      </c>
    </row>
    <row r="658" spans="1:27" ht="108.75" customHeight="1">
      <c r="A658" s="868" t="s">
        <v>604</v>
      </c>
      <c r="B658" s="913"/>
      <c r="C658" s="913"/>
      <c r="D658" s="913"/>
      <c r="E658" s="913"/>
      <c r="F658" s="913"/>
      <c r="G658" s="913"/>
      <c r="H658" s="913"/>
      <c r="I658" s="621" t="s">
        <v>786</v>
      </c>
      <c r="J658" s="870"/>
      <c r="K658" s="871"/>
      <c r="L658" s="913"/>
      <c r="M658" s="872"/>
      <c r="N658" s="873"/>
      <c r="O658" s="871"/>
      <c r="P658" s="871"/>
      <c r="Q658" s="874"/>
      <c r="R658" s="874"/>
      <c r="S658" s="874"/>
      <c r="T658" s="874"/>
      <c r="U658" s="875">
        <v>150000</v>
      </c>
      <c r="V658" s="876">
        <f t="shared" si="168"/>
        <v>150000</v>
      </c>
      <c r="W658" s="877">
        <v>0</v>
      </c>
      <c r="X658" s="877">
        <f t="shared" si="169"/>
        <v>0</v>
      </c>
      <c r="Y658" s="877">
        <v>0</v>
      </c>
      <c r="Z658" s="40">
        <f t="shared" si="170"/>
        <v>0</v>
      </c>
    </row>
    <row r="659" spans="1:27" ht="84" customHeight="1">
      <c r="A659" s="868" t="s">
        <v>555</v>
      </c>
      <c r="B659" s="913"/>
      <c r="C659" s="913"/>
      <c r="D659" s="913"/>
      <c r="E659" s="913"/>
      <c r="F659" s="913"/>
      <c r="G659" s="913"/>
      <c r="H659" s="913"/>
      <c r="I659" s="621" t="s">
        <v>787</v>
      </c>
      <c r="J659" s="870"/>
      <c r="K659" s="871"/>
      <c r="L659" s="913"/>
      <c r="M659" s="872"/>
      <c r="N659" s="873"/>
      <c r="O659" s="871"/>
      <c r="P659" s="871"/>
      <c r="Q659" s="874"/>
      <c r="R659" s="874"/>
      <c r="S659" s="874"/>
      <c r="T659" s="874"/>
      <c r="U659" s="875">
        <v>107500</v>
      </c>
      <c r="V659" s="876">
        <f t="shared" si="168"/>
        <v>107500</v>
      </c>
      <c r="W659" s="877">
        <v>0</v>
      </c>
      <c r="X659" s="877">
        <f t="shared" si="169"/>
        <v>0</v>
      </c>
      <c r="Y659" s="877">
        <v>0</v>
      </c>
      <c r="Z659" s="40">
        <f t="shared" si="170"/>
        <v>0</v>
      </c>
      <c r="AA659" s="905"/>
    </row>
    <row r="660" spans="1:27" ht="209.25" customHeight="1">
      <c r="A660" s="184" t="s">
        <v>788</v>
      </c>
      <c r="B660" s="864" t="s">
        <v>22</v>
      </c>
      <c r="C660" s="864" t="s">
        <v>146</v>
      </c>
      <c r="D660" s="864" t="s">
        <v>775</v>
      </c>
      <c r="E660" s="864" t="s">
        <v>25</v>
      </c>
      <c r="F660" s="864"/>
      <c r="G660" s="864" t="s">
        <v>789</v>
      </c>
      <c r="H660" s="864" t="s">
        <v>28</v>
      </c>
      <c r="I660" s="184" t="s">
        <v>777</v>
      </c>
      <c r="J660" s="864"/>
      <c r="K660" s="864"/>
      <c r="L660" s="864"/>
      <c r="M660" s="864"/>
      <c r="N660" s="878"/>
      <c r="O660" s="879"/>
      <c r="P660" s="879"/>
      <c r="Q660" s="879"/>
      <c r="R660" s="879"/>
      <c r="S660" s="879"/>
      <c r="T660" s="879"/>
      <c r="U660" s="880">
        <f t="shared" ref="U660:Z660" si="171">SUM(U661:U682)</f>
        <v>3466600</v>
      </c>
      <c r="V660" s="880">
        <f t="shared" si="171"/>
        <v>3466600</v>
      </c>
      <c r="W660" s="880">
        <f t="shared" si="171"/>
        <v>0</v>
      </c>
      <c r="X660" s="880">
        <f t="shared" si="171"/>
        <v>0</v>
      </c>
      <c r="Y660" s="880">
        <f t="shared" si="171"/>
        <v>0</v>
      </c>
      <c r="Z660" s="880">
        <f t="shared" si="171"/>
        <v>0</v>
      </c>
    </row>
    <row r="661" spans="1:27" ht="115.5" customHeight="1">
      <c r="A661" s="123" t="s">
        <v>417</v>
      </c>
      <c r="B661" s="915"/>
      <c r="C661" s="916"/>
      <c r="D661" s="916"/>
      <c r="E661" s="916"/>
      <c r="F661" s="916"/>
      <c r="G661" s="916"/>
      <c r="H661" s="917"/>
      <c r="I661" s="198" t="s">
        <v>779</v>
      </c>
      <c r="J661" s="870"/>
      <c r="K661" s="871"/>
      <c r="L661" s="881"/>
      <c r="M661" s="872"/>
      <c r="N661" s="873"/>
      <c r="O661" s="871"/>
      <c r="P661" s="871"/>
      <c r="Q661" s="874"/>
      <c r="R661" s="874"/>
      <c r="S661" s="874"/>
      <c r="T661" s="874"/>
      <c r="U661" s="875">
        <v>37300</v>
      </c>
      <c r="V661" s="876">
        <f>U661</f>
        <v>37300</v>
      </c>
      <c r="W661" s="882">
        <v>0</v>
      </c>
      <c r="X661" s="882">
        <f>W661</f>
        <v>0</v>
      </c>
      <c r="Y661" s="882">
        <v>0</v>
      </c>
      <c r="Z661" s="40">
        <f>Y661</f>
        <v>0</v>
      </c>
    </row>
    <row r="662" spans="1:27" ht="102" customHeight="1">
      <c r="A662" s="123" t="s">
        <v>790</v>
      </c>
      <c r="B662" s="918"/>
      <c r="C662" s="919"/>
      <c r="D662" s="919"/>
      <c r="E662" s="919"/>
      <c r="F662" s="919"/>
      <c r="G662" s="919"/>
      <c r="H662" s="920"/>
      <c r="I662" s="883" t="s">
        <v>791</v>
      </c>
      <c r="J662" s="870"/>
      <c r="K662" s="871"/>
      <c r="L662" s="881"/>
      <c r="M662" s="872"/>
      <c r="N662" s="873"/>
      <c r="O662" s="871"/>
      <c r="P662" s="871"/>
      <c r="Q662" s="874"/>
      <c r="R662" s="874"/>
      <c r="S662" s="874"/>
      <c r="T662" s="874"/>
      <c r="U662" s="875">
        <v>50000</v>
      </c>
      <c r="V662" s="876">
        <f t="shared" ref="V662:V682" si="172">U662</f>
        <v>50000</v>
      </c>
      <c r="W662" s="882">
        <v>0</v>
      </c>
      <c r="X662" s="882">
        <f t="shared" ref="X662:X681" si="173">W662</f>
        <v>0</v>
      </c>
      <c r="Y662" s="882">
        <v>0</v>
      </c>
      <c r="Z662" s="40">
        <f t="shared" ref="Z662:Z681" si="174">Y662</f>
        <v>0</v>
      </c>
    </row>
    <row r="663" spans="1:27" ht="68.25" customHeight="1">
      <c r="A663" s="123" t="s">
        <v>154</v>
      </c>
      <c r="B663" s="918"/>
      <c r="C663" s="919"/>
      <c r="D663" s="919"/>
      <c r="E663" s="919"/>
      <c r="F663" s="919"/>
      <c r="G663" s="919"/>
      <c r="H663" s="920"/>
      <c r="I663" s="883" t="s">
        <v>792</v>
      </c>
      <c r="J663" s="870"/>
      <c r="K663" s="871"/>
      <c r="L663" s="881"/>
      <c r="M663" s="872"/>
      <c r="N663" s="873"/>
      <c r="O663" s="871"/>
      <c r="P663" s="871"/>
      <c r="Q663" s="874"/>
      <c r="R663" s="874"/>
      <c r="S663" s="874"/>
      <c r="T663" s="874"/>
      <c r="U663" s="875">
        <v>200000</v>
      </c>
      <c r="V663" s="876">
        <f t="shared" si="172"/>
        <v>200000</v>
      </c>
      <c r="W663" s="882">
        <v>0</v>
      </c>
      <c r="X663" s="882">
        <f t="shared" si="173"/>
        <v>0</v>
      </c>
      <c r="Y663" s="882">
        <v>0</v>
      </c>
      <c r="Z663" s="40">
        <f t="shared" si="174"/>
        <v>0</v>
      </c>
    </row>
    <row r="664" spans="1:27" ht="51.75" customHeight="1">
      <c r="A664" s="912" t="s">
        <v>703</v>
      </c>
      <c r="B664" s="918"/>
      <c r="C664" s="919"/>
      <c r="D664" s="919"/>
      <c r="E664" s="919"/>
      <c r="F664" s="919"/>
      <c r="G664" s="919"/>
      <c r="H664" s="920"/>
      <c r="I664" s="883" t="s">
        <v>793</v>
      </c>
      <c r="J664" s="870"/>
      <c r="K664" s="871"/>
      <c r="L664" s="881"/>
      <c r="M664" s="872"/>
      <c r="N664" s="873"/>
      <c r="O664" s="871"/>
      <c r="P664" s="871"/>
      <c r="Q664" s="874"/>
      <c r="R664" s="874"/>
      <c r="S664" s="874"/>
      <c r="T664" s="874"/>
      <c r="U664" s="875">
        <v>320000</v>
      </c>
      <c r="V664" s="876">
        <f t="shared" si="172"/>
        <v>320000</v>
      </c>
      <c r="W664" s="882">
        <v>0</v>
      </c>
      <c r="X664" s="882">
        <f t="shared" si="173"/>
        <v>0</v>
      </c>
      <c r="Y664" s="882">
        <v>0</v>
      </c>
      <c r="Z664" s="40">
        <f t="shared" si="174"/>
        <v>0</v>
      </c>
    </row>
    <row r="665" spans="1:27" ht="147" customHeight="1">
      <c r="A665" s="912"/>
      <c r="B665" s="918"/>
      <c r="C665" s="919"/>
      <c r="D665" s="919"/>
      <c r="E665" s="919"/>
      <c r="F665" s="919"/>
      <c r="G665" s="919"/>
      <c r="H665" s="920"/>
      <c r="I665" s="883" t="s">
        <v>794</v>
      </c>
      <c r="J665" s="870"/>
      <c r="K665" s="871"/>
      <c r="L665" s="881"/>
      <c r="M665" s="872"/>
      <c r="N665" s="873"/>
      <c r="O665" s="871"/>
      <c r="P665" s="871"/>
      <c r="Q665" s="874"/>
      <c r="R665" s="874"/>
      <c r="S665" s="874"/>
      <c r="T665" s="874"/>
      <c r="U665" s="875">
        <v>100000</v>
      </c>
      <c r="V665" s="876">
        <f t="shared" si="172"/>
        <v>100000</v>
      </c>
      <c r="W665" s="882">
        <v>0</v>
      </c>
      <c r="X665" s="882">
        <f t="shared" si="173"/>
        <v>0</v>
      </c>
      <c r="Y665" s="882">
        <v>0</v>
      </c>
      <c r="Z665" s="40">
        <f t="shared" si="174"/>
        <v>0</v>
      </c>
    </row>
    <row r="666" spans="1:27" ht="88.5" customHeight="1">
      <c r="A666" s="912"/>
      <c r="B666" s="918"/>
      <c r="C666" s="919"/>
      <c r="D666" s="919"/>
      <c r="E666" s="919"/>
      <c r="F666" s="919"/>
      <c r="G666" s="919"/>
      <c r="H666" s="920"/>
      <c r="I666" s="883" t="s">
        <v>795</v>
      </c>
      <c r="J666" s="870"/>
      <c r="K666" s="871"/>
      <c r="L666" s="881"/>
      <c r="M666" s="872"/>
      <c r="N666" s="873"/>
      <c r="O666" s="871"/>
      <c r="P666" s="871"/>
      <c r="Q666" s="874"/>
      <c r="R666" s="874"/>
      <c r="S666" s="874"/>
      <c r="T666" s="874"/>
      <c r="U666" s="875">
        <v>300000</v>
      </c>
      <c r="V666" s="876">
        <f t="shared" si="172"/>
        <v>300000</v>
      </c>
      <c r="W666" s="882">
        <v>0</v>
      </c>
      <c r="X666" s="882">
        <f t="shared" si="173"/>
        <v>0</v>
      </c>
      <c r="Y666" s="882">
        <v>0</v>
      </c>
      <c r="Z666" s="40">
        <f t="shared" si="174"/>
        <v>0</v>
      </c>
    </row>
    <row r="667" spans="1:27" ht="104.25" customHeight="1">
      <c r="A667" s="912" t="s">
        <v>782</v>
      </c>
      <c r="B667" s="918"/>
      <c r="C667" s="919"/>
      <c r="D667" s="919"/>
      <c r="E667" s="919"/>
      <c r="F667" s="919"/>
      <c r="G667" s="919"/>
      <c r="H667" s="920"/>
      <c r="I667" s="883" t="s">
        <v>796</v>
      </c>
      <c r="J667" s="870"/>
      <c r="K667" s="871"/>
      <c r="L667" s="881"/>
      <c r="M667" s="872"/>
      <c r="N667" s="873"/>
      <c r="O667" s="871"/>
      <c r="P667" s="871"/>
      <c r="Q667" s="874"/>
      <c r="R667" s="874"/>
      <c r="S667" s="874"/>
      <c r="T667" s="874"/>
      <c r="U667" s="875">
        <v>951800</v>
      </c>
      <c r="V667" s="876">
        <f t="shared" si="172"/>
        <v>951800</v>
      </c>
      <c r="W667" s="882">
        <v>0</v>
      </c>
      <c r="X667" s="882">
        <f t="shared" si="173"/>
        <v>0</v>
      </c>
      <c r="Y667" s="882">
        <v>0</v>
      </c>
      <c r="Z667" s="40">
        <f t="shared" si="174"/>
        <v>0</v>
      </c>
    </row>
    <row r="668" spans="1:27" ht="84.75" customHeight="1">
      <c r="A668" s="912"/>
      <c r="B668" s="918"/>
      <c r="C668" s="919"/>
      <c r="D668" s="919"/>
      <c r="E668" s="919"/>
      <c r="F668" s="919"/>
      <c r="G668" s="919"/>
      <c r="H668" s="920"/>
      <c r="I668" s="883" t="s">
        <v>797</v>
      </c>
      <c r="J668" s="870"/>
      <c r="K668" s="871"/>
      <c r="L668" s="881"/>
      <c r="M668" s="872"/>
      <c r="N668" s="873"/>
      <c r="O668" s="871"/>
      <c r="P668" s="871"/>
      <c r="Q668" s="874"/>
      <c r="R668" s="874"/>
      <c r="S668" s="874"/>
      <c r="T668" s="874"/>
      <c r="U668" s="875">
        <v>70000</v>
      </c>
      <c r="V668" s="876">
        <f t="shared" si="172"/>
        <v>70000</v>
      </c>
      <c r="W668" s="882">
        <v>0</v>
      </c>
      <c r="X668" s="882">
        <f t="shared" si="173"/>
        <v>0</v>
      </c>
      <c r="Y668" s="882">
        <v>0</v>
      </c>
      <c r="Z668" s="40">
        <f t="shared" si="174"/>
        <v>0</v>
      </c>
    </row>
    <row r="669" spans="1:27" ht="101.25">
      <c r="A669" s="123" t="s">
        <v>798</v>
      </c>
      <c r="B669" s="918"/>
      <c r="C669" s="919"/>
      <c r="D669" s="919"/>
      <c r="E669" s="919"/>
      <c r="F669" s="919"/>
      <c r="G669" s="919"/>
      <c r="H669" s="920"/>
      <c r="I669" s="883" t="s">
        <v>799</v>
      </c>
      <c r="J669" s="870"/>
      <c r="K669" s="871"/>
      <c r="L669" s="881"/>
      <c r="M669" s="872"/>
      <c r="N669" s="873"/>
      <c r="O669" s="871"/>
      <c r="P669" s="871"/>
      <c r="Q669" s="874"/>
      <c r="R669" s="874"/>
      <c r="S669" s="874"/>
      <c r="T669" s="874"/>
      <c r="U669" s="875">
        <v>70000</v>
      </c>
      <c r="V669" s="876">
        <f t="shared" si="172"/>
        <v>70000</v>
      </c>
      <c r="W669" s="882">
        <v>0</v>
      </c>
      <c r="X669" s="882">
        <f t="shared" si="173"/>
        <v>0</v>
      </c>
      <c r="Y669" s="882">
        <v>0</v>
      </c>
      <c r="Z669" s="40">
        <f t="shared" si="174"/>
        <v>0</v>
      </c>
    </row>
    <row r="670" spans="1:27" ht="129.75" customHeight="1">
      <c r="A670" s="123" t="s">
        <v>591</v>
      </c>
      <c r="B670" s="918"/>
      <c r="C670" s="919"/>
      <c r="D670" s="919"/>
      <c r="E670" s="919"/>
      <c r="F670" s="919"/>
      <c r="G670" s="919"/>
      <c r="H670" s="920"/>
      <c r="I670" s="883" t="s">
        <v>800</v>
      </c>
      <c r="J670" s="870"/>
      <c r="K670" s="871"/>
      <c r="L670" s="881"/>
      <c r="M670" s="872"/>
      <c r="N670" s="873"/>
      <c r="O670" s="871"/>
      <c r="P670" s="871"/>
      <c r="Q670" s="874"/>
      <c r="R670" s="874"/>
      <c r="S670" s="874"/>
      <c r="T670" s="874"/>
      <c r="U670" s="875">
        <v>90000</v>
      </c>
      <c r="V670" s="876">
        <f t="shared" si="172"/>
        <v>90000</v>
      </c>
      <c r="W670" s="882">
        <v>0</v>
      </c>
      <c r="X670" s="882">
        <f t="shared" si="173"/>
        <v>0</v>
      </c>
      <c r="Y670" s="882">
        <v>0</v>
      </c>
      <c r="Z670" s="40">
        <f t="shared" si="174"/>
        <v>0</v>
      </c>
    </row>
    <row r="671" spans="1:27" ht="88.5" customHeight="1">
      <c r="A671" s="123" t="s">
        <v>555</v>
      </c>
      <c r="B671" s="918"/>
      <c r="C671" s="919"/>
      <c r="D671" s="919"/>
      <c r="E671" s="919"/>
      <c r="F671" s="919"/>
      <c r="G671" s="919"/>
      <c r="H671" s="920"/>
      <c r="I671" s="621" t="s">
        <v>787</v>
      </c>
      <c r="J671" s="870"/>
      <c r="K671" s="871"/>
      <c r="L671" s="881"/>
      <c r="M671" s="872"/>
      <c r="N671" s="873"/>
      <c r="O671" s="871"/>
      <c r="P671" s="871"/>
      <c r="Q671" s="874"/>
      <c r="R671" s="874"/>
      <c r="S671" s="874"/>
      <c r="T671" s="874"/>
      <c r="U671" s="875">
        <v>107500</v>
      </c>
      <c r="V671" s="876">
        <f t="shared" si="172"/>
        <v>107500</v>
      </c>
      <c r="W671" s="882">
        <v>0</v>
      </c>
      <c r="X671" s="882">
        <f t="shared" si="173"/>
        <v>0</v>
      </c>
      <c r="Y671" s="882">
        <v>0</v>
      </c>
      <c r="Z671" s="40">
        <f t="shared" si="174"/>
        <v>0</v>
      </c>
    </row>
    <row r="672" spans="1:27" ht="43.5" customHeight="1">
      <c r="A672" s="912" t="s">
        <v>801</v>
      </c>
      <c r="B672" s="918"/>
      <c r="C672" s="919"/>
      <c r="D672" s="919"/>
      <c r="E672" s="919"/>
      <c r="F672" s="919"/>
      <c r="G672" s="919"/>
      <c r="H672" s="920"/>
      <c r="I672" s="883" t="s">
        <v>802</v>
      </c>
      <c r="J672" s="870"/>
      <c r="K672" s="871"/>
      <c r="L672" s="881"/>
      <c r="M672" s="872"/>
      <c r="N672" s="873"/>
      <c r="O672" s="871"/>
      <c r="P672" s="871"/>
      <c r="Q672" s="874"/>
      <c r="R672" s="874"/>
      <c r="S672" s="874"/>
      <c r="T672" s="874"/>
      <c r="U672" s="875">
        <v>200000</v>
      </c>
      <c r="V672" s="876">
        <f t="shared" si="172"/>
        <v>200000</v>
      </c>
      <c r="W672" s="882">
        <v>0</v>
      </c>
      <c r="X672" s="882">
        <f t="shared" si="173"/>
        <v>0</v>
      </c>
      <c r="Y672" s="882">
        <v>0</v>
      </c>
      <c r="Z672" s="40">
        <f t="shared" si="174"/>
        <v>0</v>
      </c>
    </row>
    <row r="673" spans="1:26" ht="45" customHeight="1">
      <c r="A673" s="912"/>
      <c r="B673" s="918"/>
      <c r="C673" s="919"/>
      <c r="D673" s="919"/>
      <c r="E673" s="919"/>
      <c r="F673" s="919"/>
      <c r="G673" s="919"/>
      <c r="H673" s="920"/>
      <c r="I673" s="883" t="s">
        <v>802</v>
      </c>
      <c r="J673" s="870"/>
      <c r="K673" s="871"/>
      <c r="L673" s="881"/>
      <c r="M673" s="872"/>
      <c r="N673" s="873"/>
      <c r="O673" s="871"/>
      <c r="P673" s="871"/>
      <c r="Q673" s="874"/>
      <c r="R673" s="874"/>
      <c r="S673" s="874"/>
      <c r="T673" s="874"/>
      <c r="U673" s="875">
        <v>200000</v>
      </c>
      <c r="V673" s="876">
        <f t="shared" si="172"/>
        <v>200000</v>
      </c>
      <c r="W673" s="882">
        <v>0</v>
      </c>
      <c r="X673" s="882">
        <f t="shared" si="173"/>
        <v>0</v>
      </c>
      <c r="Y673" s="882">
        <v>0</v>
      </c>
      <c r="Z673" s="40">
        <f t="shared" si="174"/>
        <v>0</v>
      </c>
    </row>
    <row r="674" spans="1:26" ht="45.75" customHeight="1">
      <c r="A674" s="912" t="s">
        <v>191</v>
      </c>
      <c r="B674" s="918"/>
      <c r="C674" s="919"/>
      <c r="D674" s="919"/>
      <c r="E674" s="919"/>
      <c r="F674" s="919"/>
      <c r="G674" s="919"/>
      <c r="H674" s="920"/>
      <c r="I674" s="883" t="s">
        <v>803</v>
      </c>
      <c r="J674" s="870"/>
      <c r="K674" s="871"/>
      <c r="L674" s="881"/>
      <c r="M674" s="872"/>
      <c r="N674" s="873"/>
      <c r="O674" s="871"/>
      <c r="P674" s="871"/>
      <c r="Q674" s="874"/>
      <c r="R674" s="874"/>
      <c r="S674" s="874"/>
      <c r="T674" s="874"/>
      <c r="U674" s="875">
        <v>50000</v>
      </c>
      <c r="V674" s="876">
        <f t="shared" si="172"/>
        <v>50000</v>
      </c>
      <c r="W674" s="882">
        <v>0</v>
      </c>
      <c r="X674" s="882">
        <f t="shared" si="173"/>
        <v>0</v>
      </c>
      <c r="Y674" s="882">
        <v>0</v>
      </c>
      <c r="Z674" s="40">
        <f t="shared" si="174"/>
        <v>0</v>
      </c>
    </row>
    <row r="675" spans="1:26" ht="66" customHeight="1">
      <c r="A675" s="912"/>
      <c r="B675" s="918"/>
      <c r="C675" s="919"/>
      <c r="D675" s="919"/>
      <c r="E675" s="919"/>
      <c r="F675" s="919"/>
      <c r="G675" s="919"/>
      <c r="H675" s="920"/>
      <c r="I675" s="883" t="s">
        <v>804</v>
      </c>
      <c r="J675" s="870"/>
      <c r="K675" s="871"/>
      <c r="L675" s="881"/>
      <c r="M675" s="872"/>
      <c r="N675" s="873"/>
      <c r="O675" s="871"/>
      <c r="P675" s="871"/>
      <c r="Q675" s="874"/>
      <c r="R675" s="874"/>
      <c r="S675" s="874"/>
      <c r="T675" s="874"/>
      <c r="U675" s="875">
        <v>100000</v>
      </c>
      <c r="V675" s="876">
        <f t="shared" si="172"/>
        <v>100000</v>
      </c>
      <c r="W675" s="882">
        <v>0</v>
      </c>
      <c r="X675" s="882">
        <f t="shared" si="173"/>
        <v>0</v>
      </c>
      <c r="Y675" s="882">
        <v>0</v>
      </c>
      <c r="Z675" s="40">
        <f t="shared" si="174"/>
        <v>0</v>
      </c>
    </row>
    <row r="676" spans="1:26" ht="48" customHeight="1">
      <c r="A676" s="912" t="s">
        <v>181</v>
      </c>
      <c r="B676" s="918"/>
      <c r="C676" s="919"/>
      <c r="D676" s="919"/>
      <c r="E676" s="919"/>
      <c r="F676" s="919"/>
      <c r="G676" s="919"/>
      <c r="H676" s="920"/>
      <c r="I676" s="883" t="s">
        <v>805</v>
      </c>
      <c r="J676" s="870"/>
      <c r="K676" s="871"/>
      <c r="L676" s="881"/>
      <c r="M676" s="872"/>
      <c r="N676" s="873"/>
      <c r="O676" s="871"/>
      <c r="P676" s="871"/>
      <c r="Q676" s="874"/>
      <c r="R676" s="874"/>
      <c r="S676" s="874"/>
      <c r="T676" s="874"/>
      <c r="U676" s="875">
        <v>100000</v>
      </c>
      <c r="V676" s="876">
        <f t="shared" si="172"/>
        <v>100000</v>
      </c>
      <c r="W676" s="882">
        <v>0</v>
      </c>
      <c r="X676" s="882">
        <f t="shared" si="173"/>
        <v>0</v>
      </c>
      <c r="Y676" s="882">
        <v>0</v>
      </c>
      <c r="Z676" s="40">
        <f t="shared" si="174"/>
        <v>0</v>
      </c>
    </row>
    <row r="677" spans="1:26" ht="46.5" customHeight="1">
      <c r="A677" s="912"/>
      <c r="B677" s="918"/>
      <c r="C677" s="919"/>
      <c r="D677" s="919"/>
      <c r="E677" s="919"/>
      <c r="F677" s="919"/>
      <c r="G677" s="919"/>
      <c r="H677" s="920"/>
      <c r="I677" s="883" t="s">
        <v>806</v>
      </c>
      <c r="J677" s="870"/>
      <c r="K677" s="871"/>
      <c r="L677" s="881"/>
      <c r="M677" s="872"/>
      <c r="N677" s="873"/>
      <c r="O677" s="871"/>
      <c r="P677" s="871"/>
      <c r="Q677" s="874"/>
      <c r="R677" s="874"/>
      <c r="S677" s="874"/>
      <c r="T677" s="874"/>
      <c r="U677" s="875">
        <v>100000</v>
      </c>
      <c r="V677" s="876">
        <f t="shared" si="172"/>
        <v>100000</v>
      </c>
      <c r="W677" s="882">
        <v>0</v>
      </c>
      <c r="X677" s="882">
        <f t="shared" si="173"/>
        <v>0</v>
      </c>
      <c r="Y677" s="882">
        <v>0</v>
      </c>
      <c r="Z677" s="40">
        <f t="shared" si="174"/>
        <v>0</v>
      </c>
    </row>
    <row r="678" spans="1:26" ht="113.25" customHeight="1">
      <c r="A678" s="912" t="s">
        <v>192</v>
      </c>
      <c r="B678" s="918"/>
      <c r="C678" s="919"/>
      <c r="D678" s="919"/>
      <c r="E678" s="919"/>
      <c r="F678" s="919"/>
      <c r="G678" s="919"/>
      <c r="H678" s="920"/>
      <c r="I678" s="883" t="s">
        <v>807</v>
      </c>
      <c r="J678" s="870"/>
      <c r="K678" s="871"/>
      <c r="L678" s="881"/>
      <c r="M678" s="872"/>
      <c r="N678" s="873"/>
      <c r="O678" s="871"/>
      <c r="P678" s="871"/>
      <c r="Q678" s="874"/>
      <c r="R678" s="874"/>
      <c r="S678" s="874"/>
      <c r="T678" s="874"/>
      <c r="U678" s="875">
        <v>83000</v>
      </c>
      <c r="V678" s="876">
        <f t="shared" si="172"/>
        <v>83000</v>
      </c>
      <c r="W678" s="882">
        <v>0</v>
      </c>
      <c r="X678" s="882">
        <f t="shared" si="173"/>
        <v>0</v>
      </c>
      <c r="Y678" s="882">
        <v>0</v>
      </c>
      <c r="Z678" s="40">
        <f t="shared" si="174"/>
        <v>0</v>
      </c>
    </row>
    <row r="679" spans="1:26" ht="89.25" customHeight="1">
      <c r="A679" s="912"/>
      <c r="B679" s="918"/>
      <c r="C679" s="919"/>
      <c r="D679" s="919"/>
      <c r="E679" s="919"/>
      <c r="F679" s="919"/>
      <c r="G679" s="919"/>
      <c r="H679" s="920"/>
      <c r="I679" s="883" t="s">
        <v>808</v>
      </c>
      <c r="J679" s="870"/>
      <c r="K679" s="871"/>
      <c r="L679" s="881"/>
      <c r="M679" s="872"/>
      <c r="N679" s="873"/>
      <c r="O679" s="871"/>
      <c r="P679" s="871"/>
      <c r="Q679" s="874"/>
      <c r="R679" s="874"/>
      <c r="S679" s="874"/>
      <c r="T679" s="874"/>
      <c r="U679" s="875">
        <v>100000</v>
      </c>
      <c r="V679" s="876">
        <f t="shared" si="172"/>
        <v>100000</v>
      </c>
      <c r="W679" s="882">
        <v>0</v>
      </c>
      <c r="X679" s="882">
        <f t="shared" si="173"/>
        <v>0</v>
      </c>
      <c r="Y679" s="882">
        <v>0</v>
      </c>
      <c r="Z679" s="40">
        <f t="shared" si="174"/>
        <v>0</v>
      </c>
    </row>
    <row r="680" spans="1:26" ht="63" customHeight="1">
      <c r="A680" s="912"/>
      <c r="B680" s="918"/>
      <c r="C680" s="919"/>
      <c r="D680" s="919"/>
      <c r="E680" s="919"/>
      <c r="F680" s="919"/>
      <c r="G680" s="919"/>
      <c r="H680" s="920"/>
      <c r="I680" s="883" t="s">
        <v>809</v>
      </c>
      <c r="J680" s="870"/>
      <c r="K680" s="871"/>
      <c r="L680" s="881"/>
      <c r="M680" s="872"/>
      <c r="N680" s="873"/>
      <c r="O680" s="871"/>
      <c r="P680" s="871"/>
      <c r="Q680" s="874"/>
      <c r="R680" s="874"/>
      <c r="S680" s="874"/>
      <c r="T680" s="874"/>
      <c r="U680" s="875">
        <v>80000</v>
      </c>
      <c r="V680" s="876">
        <f t="shared" si="172"/>
        <v>80000</v>
      </c>
      <c r="W680" s="882">
        <v>0</v>
      </c>
      <c r="X680" s="882">
        <f t="shared" si="173"/>
        <v>0</v>
      </c>
      <c r="Y680" s="882">
        <v>0</v>
      </c>
      <c r="Z680" s="40">
        <f t="shared" si="174"/>
        <v>0</v>
      </c>
    </row>
    <row r="681" spans="1:26" ht="91.5" customHeight="1">
      <c r="A681" s="123" t="s">
        <v>667</v>
      </c>
      <c r="B681" s="918"/>
      <c r="C681" s="919"/>
      <c r="D681" s="919"/>
      <c r="E681" s="919"/>
      <c r="F681" s="919"/>
      <c r="G681" s="919"/>
      <c r="H681" s="920"/>
      <c r="I681" s="883" t="s">
        <v>810</v>
      </c>
      <c r="J681" s="870"/>
      <c r="K681" s="871"/>
      <c r="L681" s="881"/>
      <c r="M681" s="872"/>
      <c r="N681" s="873"/>
      <c r="O681" s="871"/>
      <c r="P681" s="871"/>
      <c r="Q681" s="874"/>
      <c r="R681" s="874"/>
      <c r="S681" s="874"/>
      <c r="T681" s="874"/>
      <c r="U681" s="875">
        <v>57000</v>
      </c>
      <c r="V681" s="876">
        <f t="shared" si="172"/>
        <v>57000</v>
      </c>
      <c r="W681" s="882">
        <v>0</v>
      </c>
      <c r="X681" s="882">
        <f t="shared" si="173"/>
        <v>0</v>
      </c>
      <c r="Y681" s="882">
        <v>0</v>
      </c>
      <c r="Z681" s="40">
        <f t="shared" si="174"/>
        <v>0</v>
      </c>
    </row>
    <row r="682" spans="1:26" ht="61.5">
      <c r="A682" s="884" t="s">
        <v>173</v>
      </c>
      <c r="B682" s="921"/>
      <c r="C682" s="922"/>
      <c r="D682" s="922"/>
      <c r="E682" s="922"/>
      <c r="F682" s="922"/>
      <c r="G682" s="922"/>
      <c r="H682" s="923"/>
      <c r="I682" s="885" t="s">
        <v>811</v>
      </c>
      <c r="J682" s="886"/>
      <c r="K682" s="887"/>
      <c r="L682" s="110"/>
      <c r="M682" s="888"/>
      <c r="N682" s="110"/>
      <c r="O682" s="887"/>
      <c r="P682" s="887"/>
      <c r="Q682" s="889"/>
      <c r="R682" s="889"/>
      <c r="S682" s="889"/>
      <c r="T682" s="889"/>
      <c r="U682" s="121">
        <v>100000</v>
      </c>
      <c r="V682" s="40">
        <f t="shared" si="172"/>
        <v>100000</v>
      </c>
      <c r="W682" s="882">
        <v>0</v>
      </c>
      <c r="X682" s="882">
        <v>0</v>
      </c>
      <c r="Y682" s="882">
        <v>0</v>
      </c>
      <c r="Z682" s="40">
        <v>0</v>
      </c>
    </row>
    <row r="683" spans="1:26" ht="204.75" customHeight="1">
      <c r="A683" s="890" t="s">
        <v>774</v>
      </c>
      <c r="B683" s="864" t="s">
        <v>22</v>
      </c>
      <c r="C683" s="891" t="s">
        <v>395</v>
      </c>
      <c r="D683" s="864" t="s">
        <v>775</v>
      </c>
      <c r="E683" s="864" t="s">
        <v>25</v>
      </c>
      <c r="F683" s="864"/>
      <c r="G683" s="864" t="s">
        <v>789</v>
      </c>
      <c r="H683" s="864" t="s">
        <v>28</v>
      </c>
      <c r="I683" s="184" t="s">
        <v>777</v>
      </c>
      <c r="J683" s="892"/>
      <c r="K683" s="893"/>
      <c r="L683" s="894"/>
      <c r="M683" s="895"/>
      <c r="N683" s="894"/>
      <c r="O683" s="893"/>
      <c r="P683" s="893"/>
      <c r="Q683" s="896"/>
      <c r="R683" s="896"/>
      <c r="S683" s="896"/>
      <c r="T683" s="896"/>
      <c r="U683" s="143">
        <f t="shared" ref="U683:Z683" si="175">U684</f>
        <v>60000</v>
      </c>
      <c r="V683" s="143">
        <f t="shared" si="175"/>
        <v>60000</v>
      </c>
      <c r="W683" s="143">
        <f t="shared" si="175"/>
        <v>0</v>
      </c>
      <c r="X683" s="143">
        <f t="shared" si="175"/>
        <v>0</v>
      </c>
      <c r="Y683" s="143">
        <f t="shared" si="175"/>
        <v>0</v>
      </c>
      <c r="Z683" s="143">
        <f t="shared" si="175"/>
        <v>0</v>
      </c>
    </row>
    <row r="684" spans="1:26" ht="63" customHeight="1">
      <c r="A684" s="884" t="s">
        <v>176</v>
      </c>
      <c r="B684" s="16"/>
      <c r="C684" s="16"/>
      <c r="D684" s="16"/>
      <c r="E684" s="16"/>
      <c r="F684" s="16"/>
      <c r="G684" s="897"/>
      <c r="H684" s="16"/>
      <c r="I684" s="885" t="s">
        <v>812</v>
      </c>
      <c r="J684" s="898"/>
      <c r="K684" s="899"/>
      <c r="L684" s="16"/>
      <c r="M684" s="900"/>
      <c r="N684" s="16"/>
      <c r="O684" s="899"/>
      <c r="P684" s="899"/>
      <c r="Q684" s="548"/>
      <c r="R684" s="548"/>
      <c r="S684" s="548"/>
      <c r="T684" s="548"/>
      <c r="U684" s="40">
        <v>60000</v>
      </c>
      <c r="V684" s="40">
        <v>60000</v>
      </c>
      <c r="W684" s="882">
        <v>0</v>
      </c>
      <c r="X684" s="882">
        <v>0</v>
      </c>
      <c r="Y684" s="882">
        <v>0</v>
      </c>
      <c r="Z684" s="40">
        <v>0</v>
      </c>
    </row>
  </sheetData>
  <mergeCells count="404">
    <mergeCell ref="M1:Z1"/>
    <mergeCell ref="N2:Z2"/>
    <mergeCell ref="A4:Z4"/>
    <mergeCell ref="A5:T5"/>
    <mergeCell ref="A6:A7"/>
    <mergeCell ref="B6:H7"/>
    <mergeCell ref="I6:I7"/>
    <mergeCell ref="J6:J7"/>
    <mergeCell ref="K6:K7"/>
    <mergeCell ref="L6:Q7"/>
    <mergeCell ref="K17:K20"/>
    <mergeCell ref="L17:L20"/>
    <mergeCell ref="A10:N10"/>
    <mergeCell ref="A11:N11"/>
    <mergeCell ref="A12:N12"/>
    <mergeCell ref="A13:Y13"/>
    <mergeCell ref="A14:N14"/>
    <mergeCell ref="A15:N15"/>
    <mergeCell ref="R6:T6"/>
    <mergeCell ref="U6:V6"/>
    <mergeCell ref="W6:X6"/>
    <mergeCell ref="Y6:Z6"/>
    <mergeCell ref="A8:N8"/>
    <mergeCell ref="A9:N9"/>
    <mergeCell ref="B24:H25"/>
    <mergeCell ref="I24:I25"/>
    <mergeCell ref="A27:A29"/>
    <mergeCell ref="B27:H29"/>
    <mergeCell ref="I27:I29"/>
    <mergeCell ref="J27:J29"/>
    <mergeCell ref="A17:A22"/>
    <mergeCell ref="B17:H22"/>
    <mergeCell ref="I17:I20"/>
    <mergeCell ref="J17:J20"/>
    <mergeCell ref="A44:A51"/>
    <mergeCell ref="B44:H51"/>
    <mergeCell ref="I44:I51"/>
    <mergeCell ref="J44:J51"/>
    <mergeCell ref="K44:K51"/>
    <mergeCell ref="L44:L51"/>
    <mergeCell ref="K27:K29"/>
    <mergeCell ref="L27:L29"/>
    <mergeCell ref="A31:A42"/>
    <mergeCell ref="B31:H42"/>
    <mergeCell ref="I31:I32"/>
    <mergeCell ref="I35:I36"/>
    <mergeCell ref="I38:I42"/>
    <mergeCell ref="J38:J42"/>
    <mergeCell ref="K38:K42"/>
    <mergeCell ref="L38:L42"/>
    <mergeCell ref="L59:L71"/>
    <mergeCell ref="A74:A76"/>
    <mergeCell ref="B74:H76"/>
    <mergeCell ref="I74:I76"/>
    <mergeCell ref="J74:J76"/>
    <mergeCell ref="K74:K76"/>
    <mergeCell ref="L74:L76"/>
    <mergeCell ref="A53:A58"/>
    <mergeCell ref="B53:H58"/>
    <mergeCell ref="I53:I71"/>
    <mergeCell ref="J53:J58"/>
    <mergeCell ref="K53:K58"/>
    <mergeCell ref="L53:L58"/>
    <mergeCell ref="A59:A71"/>
    <mergeCell ref="B59:H71"/>
    <mergeCell ref="J59:J71"/>
    <mergeCell ref="K59:K71"/>
    <mergeCell ref="R77:R78"/>
    <mergeCell ref="G77:G78"/>
    <mergeCell ref="H77:H78"/>
    <mergeCell ref="I77:I78"/>
    <mergeCell ref="J77:J78"/>
    <mergeCell ref="K77:K78"/>
    <mergeCell ref="L77:L78"/>
    <mergeCell ref="A77:A78"/>
    <mergeCell ref="B77:B78"/>
    <mergeCell ref="C77:C78"/>
    <mergeCell ref="D77:D78"/>
    <mergeCell ref="E77:E78"/>
    <mergeCell ref="F77:F78"/>
    <mergeCell ref="B112:H141"/>
    <mergeCell ref="I112:I141"/>
    <mergeCell ref="M112:M128"/>
    <mergeCell ref="M129:M141"/>
    <mergeCell ref="A144:A145"/>
    <mergeCell ref="B144:H145"/>
    <mergeCell ref="Y77:Y78"/>
    <mergeCell ref="Z77:Z78"/>
    <mergeCell ref="B79:H98"/>
    <mergeCell ref="I79:I98"/>
    <mergeCell ref="M79:M110"/>
    <mergeCell ref="B99:H110"/>
    <mergeCell ref="I99:I110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J163:J179"/>
    <mergeCell ref="K163:K179"/>
    <mergeCell ref="L163:L179"/>
    <mergeCell ref="B149:H152"/>
    <mergeCell ref="I149:I152"/>
    <mergeCell ref="M149:M152"/>
    <mergeCell ref="N149:N152"/>
    <mergeCell ref="A155:N155"/>
    <mergeCell ref="A160:M160"/>
    <mergeCell ref="A190:A221"/>
    <mergeCell ref="B190:H221"/>
    <mergeCell ref="I191:I221"/>
    <mergeCell ref="J191:J221"/>
    <mergeCell ref="K191:K221"/>
    <mergeCell ref="L191:L221"/>
    <mergeCell ref="Y178:Y179"/>
    <mergeCell ref="Z178:Z179"/>
    <mergeCell ref="I180:I181"/>
    <mergeCell ref="A183:A189"/>
    <mergeCell ref="B183:H189"/>
    <mergeCell ref="I183:I189"/>
    <mergeCell ref="J183:J189"/>
    <mergeCell ref="K183:K189"/>
    <mergeCell ref="L183:L189"/>
    <mergeCell ref="M178:M179"/>
    <mergeCell ref="N178:N179"/>
    <mergeCell ref="U178:U179"/>
    <mergeCell ref="V178:V179"/>
    <mergeCell ref="W178:W179"/>
    <mergeCell ref="X178:X179"/>
    <mergeCell ref="A162:A181"/>
    <mergeCell ref="B162:H181"/>
    <mergeCell ref="I162:I179"/>
    <mergeCell ref="A230:A271"/>
    <mergeCell ref="B230:H271"/>
    <mergeCell ref="I230:I271"/>
    <mergeCell ref="J230:J271"/>
    <mergeCell ref="K230:K271"/>
    <mergeCell ref="L230:L271"/>
    <mergeCell ref="A222:A229"/>
    <mergeCell ref="B222:H229"/>
    <mergeCell ref="I222:I229"/>
    <mergeCell ref="J222:J229"/>
    <mergeCell ref="K222:K229"/>
    <mergeCell ref="L222:L229"/>
    <mergeCell ref="A279:A284"/>
    <mergeCell ref="B279:H284"/>
    <mergeCell ref="I279:I284"/>
    <mergeCell ref="J279:J284"/>
    <mergeCell ref="K279:K284"/>
    <mergeCell ref="L279:L284"/>
    <mergeCell ref="A272:A275"/>
    <mergeCell ref="B272:H275"/>
    <mergeCell ref="I272:I275"/>
    <mergeCell ref="J272:J275"/>
    <mergeCell ref="K272:K275"/>
    <mergeCell ref="L272:L275"/>
    <mergeCell ref="A297:A299"/>
    <mergeCell ref="B297:H299"/>
    <mergeCell ref="I297:I299"/>
    <mergeCell ref="B305:H305"/>
    <mergeCell ref="A306:N306"/>
    <mergeCell ref="B308:H308"/>
    <mergeCell ref="A286:A288"/>
    <mergeCell ref="B286:H287"/>
    <mergeCell ref="L287:L288"/>
    <mergeCell ref="N287:N288"/>
    <mergeCell ref="B288:H288"/>
    <mergeCell ref="A290:A293"/>
    <mergeCell ref="B290:H293"/>
    <mergeCell ref="L290:L293"/>
    <mergeCell ref="N291:N293"/>
    <mergeCell ref="A326:A327"/>
    <mergeCell ref="B326:H327"/>
    <mergeCell ref="I326:I327"/>
    <mergeCell ref="B329:H358"/>
    <mergeCell ref="I329:I358"/>
    <mergeCell ref="A360:A369"/>
    <mergeCell ref="B360:H369"/>
    <mergeCell ref="I360:I369"/>
    <mergeCell ref="B310:H310"/>
    <mergeCell ref="I312:I313"/>
    <mergeCell ref="I315:I316"/>
    <mergeCell ref="A317:M317"/>
    <mergeCell ref="B322:H322"/>
    <mergeCell ref="B324:H324"/>
    <mergeCell ref="A374:M374"/>
    <mergeCell ref="A376:A408"/>
    <mergeCell ref="B376:H408"/>
    <mergeCell ref="I376:I408"/>
    <mergeCell ref="A411:N411"/>
    <mergeCell ref="A414:N414"/>
    <mergeCell ref="A370:M370"/>
    <mergeCell ref="A371:A372"/>
    <mergeCell ref="B371:B372"/>
    <mergeCell ref="C371:C372"/>
    <mergeCell ref="D371:D372"/>
    <mergeCell ref="E371:E372"/>
    <mergeCell ref="G371:G372"/>
    <mergeCell ref="H371:H372"/>
    <mergeCell ref="B418:H418"/>
    <mergeCell ref="I418:I465"/>
    <mergeCell ref="B419:H421"/>
    <mergeCell ref="J419:J421"/>
    <mergeCell ref="K419:K421"/>
    <mergeCell ref="L419:L421"/>
    <mergeCell ref="B422:H422"/>
    <mergeCell ref="B423:H423"/>
    <mergeCell ref="J424:J452"/>
    <mergeCell ref="K424:K452"/>
    <mergeCell ref="Z470:Z471"/>
    <mergeCell ref="B473:H473"/>
    <mergeCell ref="I473:I545"/>
    <mergeCell ref="B474:H545"/>
    <mergeCell ref="L424:L452"/>
    <mergeCell ref="B463:H463"/>
    <mergeCell ref="B464:H464"/>
    <mergeCell ref="B465:H465"/>
    <mergeCell ref="A470:A471"/>
    <mergeCell ref="B470:H471"/>
    <mergeCell ref="I470:I471"/>
    <mergeCell ref="A476:A477"/>
    <mergeCell ref="M476:M477"/>
    <mergeCell ref="A478:A479"/>
    <mergeCell ref="M478:M479"/>
    <mergeCell ref="A480:A481"/>
    <mergeCell ref="M480:M481"/>
    <mergeCell ref="W470:W471"/>
    <mergeCell ref="X470:X471"/>
    <mergeCell ref="Y470:Y471"/>
    <mergeCell ref="A488:A489"/>
    <mergeCell ref="M488:M489"/>
    <mergeCell ref="A490:A491"/>
    <mergeCell ref="M490:M491"/>
    <mergeCell ref="A492:A493"/>
    <mergeCell ref="M492:M493"/>
    <mergeCell ref="A482:A483"/>
    <mergeCell ref="M482:M483"/>
    <mergeCell ref="A484:A485"/>
    <mergeCell ref="M484:M485"/>
    <mergeCell ref="A486:A487"/>
    <mergeCell ref="M486:M487"/>
    <mergeCell ref="A500:A501"/>
    <mergeCell ref="M500:M501"/>
    <mergeCell ref="A502:A503"/>
    <mergeCell ref="M502:M503"/>
    <mergeCell ref="A504:A505"/>
    <mergeCell ref="M504:M505"/>
    <mergeCell ref="A494:A495"/>
    <mergeCell ref="M494:M495"/>
    <mergeCell ref="A496:A497"/>
    <mergeCell ref="M496:M497"/>
    <mergeCell ref="A498:A499"/>
    <mergeCell ref="M498:M499"/>
    <mergeCell ref="A512:A513"/>
    <mergeCell ref="M512:M513"/>
    <mergeCell ref="A514:A515"/>
    <mergeCell ref="M514:M515"/>
    <mergeCell ref="A516:A517"/>
    <mergeCell ref="M516:M517"/>
    <mergeCell ref="A506:A507"/>
    <mergeCell ref="M506:M507"/>
    <mergeCell ref="A508:A509"/>
    <mergeCell ref="M508:M509"/>
    <mergeCell ref="A510:A511"/>
    <mergeCell ref="M510:M511"/>
    <mergeCell ref="A524:A525"/>
    <mergeCell ref="M524:M525"/>
    <mergeCell ref="A526:A527"/>
    <mergeCell ref="M526:M527"/>
    <mergeCell ref="A528:A529"/>
    <mergeCell ref="M528:M529"/>
    <mergeCell ref="A518:A519"/>
    <mergeCell ref="M518:M519"/>
    <mergeCell ref="A520:A521"/>
    <mergeCell ref="M520:M521"/>
    <mergeCell ref="A522:A523"/>
    <mergeCell ref="M522:M523"/>
    <mergeCell ref="A538:A539"/>
    <mergeCell ref="M538:M539"/>
    <mergeCell ref="A540:A541"/>
    <mergeCell ref="M540:M541"/>
    <mergeCell ref="A542:A543"/>
    <mergeCell ref="M542:M543"/>
    <mergeCell ref="A530:A531"/>
    <mergeCell ref="M530:M531"/>
    <mergeCell ref="A532:A535"/>
    <mergeCell ref="M532:M533"/>
    <mergeCell ref="M534:M535"/>
    <mergeCell ref="A536:A537"/>
    <mergeCell ref="M536:M537"/>
    <mergeCell ref="M552:M553"/>
    <mergeCell ref="A554:A555"/>
    <mergeCell ref="M554:M555"/>
    <mergeCell ref="A556:A557"/>
    <mergeCell ref="M556:M557"/>
    <mergeCell ref="A558:A559"/>
    <mergeCell ref="M558:M559"/>
    <mergeCell ref="A544:A545"/>
    <mergeCell ref="M544:M545"/>
    <mergeCell ref="B547:H547"/>
    <mergeCell ref="I547:I563"/>
    <mergeCell ref="B548:H548"/>
    <mergeCell ref="B549:H549"/>
    <mergeCell ref="A550:A551"/>
    <mergeCell ref="B550:H563"/>
    <mergeCell ref="M550:M551"/>
    <mergeCell ref="A552:A553"/>
    <mergeCell ref="A560:A561"/>
    <mergeCell ref="M560:M561"/>
    <mergeCell ref="A562:A563"/>
    <mergeCell ref="M562:M563"/>
    <mergeCell ref="B564:H574"/>
    <mergeCell ref="I564:I576"/>
    <mergeCell ref="L564:L574"/>
    <mergeCell ref="J571:J573"/>
    <mergeCell ref="K571:K573"/>
    <mergeCell ref="B583:H583"/>
    <mergeCell ref="I583:I608"/>
    <mergeCell ref="B584:H584"/>
    <mergeCell ref="B585:H585"/>
    <mergeCell ref="B586:H586"/>
    <mergeCell ref="B587:H587"/>
    <mergeCell ref="B588:H588"/>
    <mergeCell ref="B589:H589"/>
    <mergeCell ref="B590:H590"/>
    <mergeCell ref="B591:H591"/>
    <mergeCell ref="B598:H598"/>
    <mergeCell ref="B599:H599"/>
    <mergeCell ref="B600:H600"/>
    <mergeCell ref="B601:H601"/>
    <mergeCell ref="B602:H602"/>
    <mergeCell ref="B603:H603"/>
    <mergeCell ref="B592:H592"/>
    <mergeCell ref="B593:H593"/>
    <mergeCell ref="B594:H594"/>
    <mergeCell ref="B595:H595"/>
    <mergeCell ref="B596:H596"/>
    <mergeCell ref="B597:H597"/>
    <mergeCell ref="B611:H617"/>
    <mergeCell ref="I611:I621"/>
    <mergeCell ref="B618:H621"/>
    <mergeCell ref="A623:A624"/>
    <mergeCell ref="B623:H624"/>
    <mergeCell ref="I623:I624"/>
    <mergeCell ref="B604:H604"/>
    <mergeCell ref="B605:H605"/>
    <mergeCell ref="B606:H606"/>
    <mergeCell ref="B607:H607"/>
    <mergeCell ref="B608:H608"/>
    <mergeCell ref="A609:N609"/>
    <mergeCell ref="W623:W624"/>
    <mergeCell ref="X623:X624"/>
    <mergeCell ref="Y623:Y624"/>
    <mergeCell ref="Z623:Z624"/>
    <mergeCell ref="A625:N625"/>
    <mergeCell ref="A626:A627"/>
    <mergeCell ref="B626:B627"/>
    <mergeCell ref="C626:C627"/>
    <mergeCell ref="D626:D627"/>
    <mergeCell ref="E626:E627"/>
    <mergeCell ref="V626:V627"/>
    <mergeCell ref="W626:W627"/>
    <mergeCell ref="X626:X627"/>
    <mergeCell ref="Y626:Y627"/>
    <mergeCell ref="Z626:Z627"/>
    <mergeCell ref="B628:H628"/>
    <mergeCell ref="G626:G627"/>
    <mergeCell ref="H626:H627"/>
    <mergeCell ref="I626:I627"/>
    <mergeCell ref="M626:M627"/>
    <mergeCell ref="N626:N627"/>
    <mergeCell ref="U626:U627"/>
    <mergeCell ref="K641:K642"/>
    <mergeCell ref="L641:L642"/>
    <mergeCell ref="A644:M644"/>
    <mergeCell ref="B646:H646"/>
    <mergeCell ref="B648:H648"/>
    <mergeCell ref="A649:M649"/>
    <mergeCell ref="A631:N631"/>
    <mergeCell ref="A633:A634"/>
    <mergeCell ref="I633:I634"/>
    <mergeCell ref="L633:L640"/>
    <mergeCell ref="J634:J640"/>
    <mergeCell ref="K634:K640"/>
    <mergeCell ref="A640:A643"/>
    <mergeCell ref="B640:H643"/>
    <mergeCell ref="I640:I643"/>
    <mergeCell ref="J641:J642"/>
    <mergeCell ref="A678:A680"/>
    <mergeCell ref="B651:H659"/>
    <mergeCell ref="L651:L659"/>
    <mergeCell ref="A653:A654"/>
    <mergeCell ref="A656:A657"/>
    <mergeCell ref="B661:H682"/>
    <mergeCell ref="A664:A666"/>
    <mergeCell ref="A667:A668"/>
    <mergeCell ref="A672:A673"/>
    <mergeCell ref="A674:A675"/>
    <mergeCell ref="A676:A67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5" orientation="landscape" horizontalDpi="180" verticalDpi="180" r:id="rId1"/>
  <rowBreaks count="10" manualBreakCount="10">
    <brk id="155" max="86" man="1"/>
    <brk id="163" max="86" man="1"/>
    <brk id="179" max="86" man="1"/>
    <brk id="194" max="86" man="1"/>
    <brk id="592" max="86" man="1"/>
    <brk id="608" max="86" man="1"/>
    <brk id="621" max="86" man="1"/>
    <brk id="626" max="86" man="1"/>
    <brk id="632" max="86" man="1"/>
    <brk id="642" max="86" man="1"/>
  </rowBreaks>
  <colBreaks count="1" manualBreakCount="1">
    <brk id="2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август</vt:lpstr>
      <vt:lpstr>август!Заголовки_для_печати</vt:lpstr>
      <vt:lpstr>август!Область_печати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2018-09-10T12:36:45Z</dcterms:created>
  <dcterms:modified xsi:type="dcterms:W3CDTF">2018-09-10T12:41:14Z</dcterms:modified>
</cp:coreProperties>
</file>